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120" firstSheet="2" activeTab="3"/>
  </bookViews>
  <sheets>
    <sheet name="01.10.11по Белоус" sheetId="1" r:id="rId1"/>
    <sheet name="тех.хар.мун." sheetId="2" r:id="rId2"/>
    <sheet name="Список" sheetId="3" r:id="rId3"/>
    <sheet name="01.04.09" sheetId="4" r:id="rId4"/>
  </sheets>
  <definedNames>
    <definedName name="_xlnm.Print_Area" localSheetId="3">'01.04.09'!$A$1:$AL$130</definedName>
    <definedName name="_xlnm.Print_Area" localSheetId="0">'01.10.11по Белоус'!$A$1:$AM$130</definedName>
    <definedName name="_xlnm.Print_Area" localSheetId="2">'Список'!$A$2:$J$124</definedName>
    <definedName name="_xlnm.Print_Area" localSheetId="1">'тех.хар.мун.'!$A$1:$AK$126</definedName>
  </definedNames>
  <calcPr fullCalcOnLoad="1"/>
</workbook>
</file>

<file path=xl/sharedStrings.xml><?xml version="1.0" encoding="utf-8"?>
<sst xmlns="http://schemas.openxmlformats.org/spreadsheetml/2006/main" count="3132" uniqueCount="132">
  <si>
    <t>№
п/п</t>
  </si>
  <si>
    <t>Наименование
улицы</t>
  </si>
  <si>
    <t>№
жилого
дома</t>
  </si>
  <si>
    <t>Год постройки</t>
  </si>
  <si>
    <t>Материал стен</t>
  </si>
  <si>
    <t>Этажность</t>
  </si>
  <si>
    <t>Кровля</t>
  </si>
  <si>
    <t>Квартиры</t>
  </si>
  <si>
    <t>Подъезды</t>
  </si>
  <si>
    <t>Вид</t>
  </si>
  <si>
    <t>Наличие</t>
  </si>
  <si>
    <t>Газофикация</t>
  </si>
  <si>
    <t>Пищеприготовление</t>
  </si>
  <si>
    <t>Электропроводка</t>
  </si>
  <si>
    <t>Материал</t>
  </si>
  <si>
    <t>Площадь,
кв.м.</t>
  </si>
  <si>
    <t>Объём,
куб.м.</t>
  </si>
  <si>
    <t>Общая
площадь,
кв.м.</t>
  </si>
  <si>
    <t xml:space="preserve">Общая
жилая
площадь,
кв.м.
</t>
  </si>
  <si>
    <t>Количество, един.</t>
  </si>
  <si>
    <t>Количество</t>
  </si>
  <si>
    <t>Уборочная
площадь
л/клеток,
кв.м.</t>
  </si>
  <si>
    <t>Отопления</t>
  </si>
  <si>
    <t>Горячего
водоснабжения</t>
  </si>
  <si>
    <t>Водопровода</t>
  </si>
  <si>
    <t>Канализации</t>
  </si>
  <si>
    <t>Ванн</t>
  </si>
  <si>
    <t>Гурьянова</t>
  </si>
  <si>
    <t>кирпич</t>
  </si>
  <si>
    <t>шифер</t>
  </si>
  <si>
    <t>Ц</t>
  </si>
  <si>
    <t>ГК</t>
  </si>
  <si>
    <t>+</t>
  </si>
  <si>
    <t>ПР</t>
  </si>
  <si>
    <t>Г/ПЛ</t>
  </si>
  <si>
    <t>СКР</t>
  </si>
  <si>
    <t>сталь</t>
  </si>
  <si>
    <t>ГВС</t>
  </si>
  <si>
    <t>м.рул.</t>
  </si>
  <si>
    <t>(общежитие)</t>
  </si>
  <si>
    <t>череп.</t>
  </si>
  <si>
    <t>Калужская</t>
  </si>
  <si>
    <t>панель.</t>
  </si>
  <si>
    <t>Мирная</t>
  </si>
  <si>
    <t>Жуковская</t>
  </si>
  <si>
    <t>Московская</t>
  </si>
  <si>
    <t>дерев.</t>
  </si>
  <si>
    <t>Лесная</t>
  </si>
  <si>
    <t>Текстильная</t>
  </si>
  <si>
    <t xml:space="preserve">ВИДЫ ОБОЗНАЧЕНИЙ </t>
  </si>
  <si>
    <t xml:space="preserve">Отопление </t>
  </si>
  <si>
    <t>Горячее водоснабжение</t>
  </si>
  <si>
    <t>-</t>
  </si>
  <si>
    <t>центральное</t>
  </si>
  <si>
    <t>центральное горячее водоснабжение</t>
  </si>
  <si>
    <t>Пр</t>
  </si>
  <si>
    <t>природный газ</t>
  </si>
  <si>
    <t>АОГВ</t>
  </si>
  <si>
    <t>газовый котёл</t>
  </si>
  <si>
    <t>газовая колонка</t>
  </si>
  <si>
    <t>Сж</t>
  </si>
  <si>
    <t>сжиженный в баллонах</t>
  </si>
  <si>
    <t>ЭГК</t>
  </si>
  <si>
    <t>электрический газовый котёл</t>
  </si>
  <si>
    <t>газовый титан</t>
  </si>
  <si>
    <t>Печн</t>
  </si>
  <si>
    <t>печное</t>
  </si>
  <si>
    <t>ИТОГО</t>
  </si>
  <si>
    <t>Чердак</t>
  </si>
  <si>
    <t>Подвал</t>
  </si>
  <si>
    <t>Площадь, кв.м.</t>
  </si>
  <si>
    <t>Асфальтовое
покрытие</t>
  </si>
  <si>
    <t>Газон</t>
  </si>
  <si>
    <t>Придомовая
территория, кв.м.</t>
  </si>
  <si>
    <t>ОТКР</t>
  </si>
  <si>
    <t>Директор</t>
  </si>
  <si>
    <t>Начальник УОЭЖФ</t>
  </si>
  <si>
    <t>Зам.гл.экономиста</t>
  </si>
  <si>
    <t>Д.Д.Куракин</t>
  </si>
  <si>
    <t>Д.Ш.Рухля</t>
  </si>
  <si>
    <t>Н.А.Кириенко</t>
  </si>
  <si>
    <t>Общежития</t>
  </si>
  <si>
    <t>Е</t>
  </si>
  <si>
    <t>сб/щит</t>
  </si>
  <si>
    <t>Г/Б</t>
  </si>
  <si>
    <t>Инд</t>
  </si>
  <si>
    <t>индивидуальное</t>
  </si>
  <si>
    <t>Сведения о жилищном фонде МО городское поселение г.Белоусово на 01.07.2008г.</t>
  </si>
  <si>
    <t xml:space="preserve">Здание </t>
  </si>
  <si>
    <t>газовая плита</t>
  </si>
  <si>
    <t>газовый баллог</t>
  </si>
  <si>
    <t>Неж/п.</t>
  </si>
  <si>
    <t>Водосточных труб</t>
  </si>
  <si>
    <t>Тариф в месяц за  - руб кв/м жилой площади</t>
  </si>
  <si>
    <t>РСЖ</t>
  </si>
  <si>
    <t>ТБО</t>
  </si>
  <si>
    <t>Лифт</t>
  </si>
  <si>
    <t>ВСЕГО</t>
  </si>
  <si>
    <t>всего</t>
  </si>
  <si>
    <t>в т.ч.</t>
  </si>
  <si>
    <t>неприват.</t>
  </si>
  <si>
    <t>Количество,
 един.</t>
  </si>
  <si>
    <t>Характеристика жилищного фонда ООО УК "Город Белоусово на 01.01.2009г.</t>
  </si>
  <si>
    <t>в собств</t>
  </si>
  <si>
    <t>в аренде</t>
  </si>
  <si>
    <t>наниматели</t>
  </si>
  <si>
    <t>№</t>
  </si>
  <si>
    <t>ЭНП</t>
  </si>
  <si>
    <t>электрический нагревательный прибор</t>
  </si>
  <si>
    <t>13,18,20</t>
  </si>
  <si>
    <t>№
жилого дома</t>
  </si>
  <si>
    <t>Общая жилая
площадь, кв.м.</t>
  </si>
  <si>
    <t>Гл.экономист</t>
  </si>
  <si>
    <t>Количество заявок поступивших и выполненных</t>
  </si>
  <si>
    <t>ХВС</t>
  </si>
  <si>
    <t>КНЛ</t>
  </si>
  <si>
    <t>отопление</t>
  </si>
  <si>
    <t>Эл.эн</t>
  </si>
  <si>
    <t>РСУ</t>
  </si>
  <si>
    <t>Всего</t>
  </si>
  <si>
    <t>п.ВОСХОД</t>
  </si>
  <si>
    <t>с.ТРУБИНО</t>
  </si>
  <si>
    <t>Школьная</t>
  </si>
  <si>
    <t>Центральная</t>
  </si>
  <si>
    <t>Юбилейная</t>
  </si>
  <si>
    <t>Садовая</t>
  </si>
  <si>
    <t>д.ВЕРХОВЬЕ</t>
  </si>
  <si>
    <t>общежитие</t>
  </si>
  <si>
    <t>ТР</t>
  </si>
  <si>
    <t>Лесная(общеж)</t>
  </si>
  <si>
    <t>Список домов обслуживаемых ООО "ЖУК"</t>
  </si>
  <si>
    <t>Гурьянова(общ)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</si>
</sst>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#,##0.000"/>
    <numFmt numFmtId="175" formatCode="_(* #,##0.0_);_(* \(#,##0.0\);_(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_-* #,##0.0_р_._-;\-* #,##0.0_р_._-;_-* &quot;-&quot;?_р_._-;_-@_-"/>
    <numFmt numFmtId="180" formatCode="0.0000"/>
    <numFmt numFmtId="181" formatCode="0.000"/>
    <numFmt numFmtId="182" formatCode="_-* #,##0.00_р_._-;\-* #,##0.00_р_._-;_-* &quot;-&quot;?_р_._-;_-@_-"/>
    <numFmt numFmtId="183" formatCode="#,##0.00_ ;\-#,##0.00\ "/>
  </numFmts>
  <fonts count="32">
    <font>
      <sz val="10"/>
      <name val="Arial"/>
      <family val="0"/>
    </font>
    <font>
      <sz val="10"/>
      <name val="Bookman Old Style"/>
      <family val="1"/>
    </font>
    <font>
      <b/>
      <sz val="10"/>
      <name val="Bookman Old Style"/>
      <family val="1"/>
    </font>
    <font>
      <b/>
      <i/>
      <sz val="10"/>
      <name val="Bookman Old Style"/>
      <family val="1"/>
    </font>
    <font>
      <u val="single"/>
      <sz val="10"/>
      <name val="Bookman Old Style"/>
      <family val="1"/>
    </font>
    <font>
      <i/>
      <sz val="10"/>
      <name val="Bookman Old Style"/>
      <family val="1"/>
    </font>
    <font>
      <i/>
      <u val="single"/>
      <sz val="10"/>
      <name val="Bookman Old Style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i/>
      <sz val="10"/>
      <name val="Arial"/>
      <family val="2"/>
    </font>
    <font>
      <i/>
      <u val="single"/>
      <sz val="10"/>
      <name val="Arial"/>
      <family val="2"/>
    </font>
    <font>
      <sz val="10"/>
      <color indexed="10"/>
      <name val="Bookman Old Style"/>
      <family val="1"/>
    </font>
    <font>
      <b/>
      <sz val="12"/>
      <name val="Bookman Old Style"/>
      <family val="1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thin"/>
      <right style="thin"/>
      <top style="medium"/>
      <bottom style="thin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9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17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left"/>
    </xf>
    <xf numFmtId="172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172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5" fontId="1" fillId="0" borderId="0" xfId="60" applyNumberFormat="1" applyFont="1" applyBorder="1" applyAlignment="1">
      <alignment horizontal="center"/>
    </xf>
    <xf numFmtId="0" fontId="0" fillId="24" borderId="0" xfId="0" applyFill="1" applyAlignment="1">
      <alignment/>
    </xf>
    <xf numFmtId="175" fontId="0" fillId="0" borderId="0" xfId="60" applyNumberFormat="1" applyFont="1" applyAlignment="1">
      <alignment/>
    </xf>
    <xf numFmtId="175" fontId="0" fillId="0" borderId="0" xfId="60" applyNumberFormat="1" applyFont="1" applyFill="1" applyBorder="1" applyAlignment="1">
      <alignment horizontal="center"/>
    </xf>
    <xf numFmtId="175" fontId="0" fillId="0" borderId="0" xfId="60" applyNumberFormat="1" applyFont="1" applyBorder="1" applyAlignment="1">
      <alignment horizontal="center"/>
    </xf>
    <xf numFmtId="175" fontId="0" fillId="0" borderId="0" xfId="60" applyNumberFormat="1" applyFont="1" applyBorder="1" applyAlignment="1">
      <alignment/>
    </xf>
    <xf numFmtId="175" fontId="0" fillId="0" borderId="0" xfId="60" applyNumberFormat="1" applyFont="1" applyAlignment="1">
      <alignment horizontal="center"/>
    </xf>
    <xf numFmtId="175" fontId="10" fillId="0" borderId="0" xfId="60" applyNumberFormat="1" applyFont="1" applyAlignment="1">
      <alignment/>
    </xf>
    <xf numFmtId="175" fontId="10" fillId="0" borderId="0" xfId="60" applyNumberFormat="1" applyFont="1" applyFill="1" applyBorder="1" applyAlignment="1">
      <alignment horizontal="center"/>
    </xf>
    <xf numFmtId="175" fontId="10" fillId="0" borderId="0" xfId="60" applyNumberFormat="1" applyFont="1" applyBorder="1" applyAlignment="1">
      <alignment horizontal="center"/>
    </xf>
    <xf numFmtId="175" fontId="10" fillId="0" borderId="0" xfId="60" applyNumberFormat="1" applyFont="1" applyBorder="1" applyAlignment="1">
      <alignment/>
    </xf>
    <xf numFmtId="175" fontId="9" fillId="7" borderId="0" xfId="60" applyNumberFormat="1" applyFont="1" applyFill="1" applyBorder="1" applyAlignment="1">
      <alignment horizontal="center"/>
    </xf>
    <xf numFmtId="172" fontId="1" fillId="7" borderId="0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75" fontId="10" fillId="0" borderId="0" xfId="6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73" fontId="1" fillId="0" borderId="13" xfId="0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1" fillId="0" borderId="14" xfId="0" applyNumberFormat="1" applyFont="1" applyFill="1" applyBorder="1" applyAlignment="1">
      <alignment horizontal="center"/>
    </xf>
    <xf numFmtId="171" fontId="1" fillId="0" borderId="14" xfId="6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172" fontId="1" fillId="0" borderId="14" xfId="0" applyNumberFormat="1" applyFont="1" applyFill="1" applyBorder="1" applyAlignment="1">
      <alignment horizontal="center"/>
    </xf>
    <xf numFmtId="173" fontId="2" fillId="0" borderId="15" xfId="0" applyNumberFormat="1" applyFont="1" applyFill="1" applyBorder="1" applyAlignment="1">
      <alignment horizontal="left"/>
    </xf>
    <xf numFmtId="0" fontId="2" fillId="0" borderId="16" xfId="0" applyFont="1" applyFill="1" applyBorder="1" applyAlignment="1">
      <alignment/>
    </xf>
    <xf numFmtId="0" fontId="2" fillId="0" borderId="16" xfId="0" applyNumberFormat="1" applyFont="1" applyFill="1" applyBorder="1" applyAlignment="1">
      <alignment horizontal="center"/>
    </xf>
    <xf numFmtId="171" fontId="2" fillId="0" borderId="16" xfId="6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172" fontId="2" fillId="0" borderId="16" xfId="0" applyNumberFormat="1" applyFont="1" applyFill="1" applyBorder="1" applyAlignment="1">
      <alignment horizontal="center"/>
    </xf>
    <xf numFmtId="173" fontId="1" fillId="0" borderId="15" xfId="0" applyNumberFormat="1" applyFont="1" applyFill="1" applyBorder="1" applyAlignment="1">
      <alignment horizontal="left"/>
    </xf>
    <xf numFmtId="0" fontId="1" fillId="0" borderId="16" xfId="0" applyFont="1" applyFill="1" applyBorder="1" applyAlignment="1">
      <alignment/>
    </xf>
    <xf numFmtId="0" fontId="1" fillId="0" borderId="16" xfId="0" applyNumberFormat="1" applyFont="1" applyFill="1" applyBorder="1" applyAlignment="1">
      <alignment horizontal="center"/>
    </xf>
    <xf numFmtId="171" fontId="1" fillId="0" borderId="16" xfId="6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172" fontId="1" fillId="0" borderId="16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0" fontId="1" fillId="0" borderId="16" xfId="0" applyFont="1" applyFill="1" applyBorder="1" applyAlignment="1" quotePrefix="1">
      <alignment horizontal="center"/>
    </xf>
    <xf numFmtId="173" fontId="1" fillId="0" borderId="16" xfId="0" applyNumberFormat="1" applyFont="1" applyFill="1" applyBorder="1" applyAlignment="1">
      <alignment horizontal="left"/>
    </xf>
    <xf numFmtId="172" fontId="1" fillId="3" borderId="16" xfId="0" applyNumberFormat="1" applyFont="1" applyFill="1" applyBorder="1" applyAlignment="1">
      <alignment horizontal="center"/>
    </xf>
    <xf numFmtId="1" fontId="1" fillId="24" borderId="15" xfId="0" applyNumberFormat="1" applyFont="1" applyFill="1" applyBorder="1" applyAlignment="1">
      <alignment horizontal="center"/>
    </xf>
    <xf numFmtId="173" fontId="1" fillId="24" borderId="16" xfId="0" applyNumberFormat="1" applyFont="1" applyFill="1" applyBorder="1" applyAlignment="1">
      <alignment horizontal="left"/>
    </xf>
    <xf numFmtId="0" fontId="1" fillId="24" borderId="16" xfId="0" applyNumberFormat="1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172" fontId="1" fillId="24" borderId="16" xfId="0" applyNumberFormat="1" applyFont="1" applyFill="1" applyBorder="1" applyAlignment="1">
      <alignment horizontal="center"/>
    </xf>
    <xf numFmtId="3" fontId="1" fillId="24" borderId="16" xfId="0" applyNumberFormat="1" applyFont="1" applyFill="1" applyBorder="1" applyAlignment="1">
      <alignment horizontal="center"/>
    </xf>
    <xf numFmtId="0" fontId="1" fillId="24" borderId="16" xfId="0" applyFont="1" applyFill="1" applyBorder="1" applyAlignment="1" quotePrefix="1">
      <alignment horizontal="center"/>
    </xf>
    <xf numFmtId="172" fontId="0" fillId="24" borderId="16" xfId="0" applyNumberFormat="1" applyFill="1" applyBorder="1" applyAlignment="1">
      <alignment horizontal="center"/>
    </xf>
    <xf numFmtId="173" fontId="1" fillId="0" borderId="16" xfId="0" applyNumberFormat="1" applyFont="1" applyFill="1" applyBorder="1" applyAlignment="1">
      <alignment horizontal="center"/>
    </xf>
    <xf numFmtId="172" fontId="0" fillId="0" borderId="16" xfId="0" applyNumberForma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173" fontId="1" fillId="0" borderId="18" xfId="0" applyNumberFormat="1" applyFont="1" applyFill="1" applyBorder="1" applyAlignment="1">
      <alignment horizontal="left"/>
    </xf>
    <xf numFmtId="0" fontId="1" fillId="0" borderId="1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72" fontId="1" fillId="0" borderId="18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1" fillId="0" borderId="18" xfId="0" applyFont="1" applyFill="1" applyBorder="1" applyAlignment="1" quotePrefix="1">
      <alignment horizontal="center"/>
    </xf>
    <xf numFmtId="172" fontId="0" fillId="0" borderId="18" xfId="0" applyNumberFormat="1" applyFill="1" applyBorder="1" applyAlignment="1">
      <alignment horizontal="center"/>
    </xf>
    <xf numFmtId="175" fontId="1" fillId="0" borderId="16" xfId="60" applyNumberFormat="1" applyFont="1" applyFill="1" applyBorder="1" applyAlignment="1">
      <alignment horizontal="center"/>
    </xf>
    <xf numFmtId="175" fontId="1" fillId="4" borderId="16" xfId="60" applyNumberFormat="1" applyFont="1" applyFill="1" applyBorder="1" applyAlignment="1">
      <alignment horizontal="center"/>
    </xf>
    <xf numFmtId="175" fontId="1" fillId="0" borderId="18" xfId="60" applyNumberFormat="1" applyFont="1" applyFill="1" applyBorder="1" applyAlignment="1">
      <alignment horizontal="center"/>
    </xf>
    <xf numFmtId="175" fontId="1" fillId="0" borderId="16" xfId="60" applyNumberFormat="1" applyFont="1" applyFill="1" applyBorder="1" applyAlignment="1">
      <alignment horizontal="center"/>
    </xf>
    <xf numFmtId="175" fontId="11" fillId="0" borderId="16" xfId="60" applyNumberFormat="1" applyFont="1" applyFill="1" applyBorder="1" applyAlignment="1">
      <alignment horizontal="center"/>
    </xf>
    <xf numFmtId="175" fontId="1" fillId="0" borderId="16" xfId="60" applyNumberFormat="1" applyFont="1" applyFill="1" applyBorder="1" applyAlignment="1" quotePrefix="1">
      <alignment horizontal="center"/>
    </xf>
    <xf numFmtId="0" fontId="1" fillId="7" borderId="16" xfId="0" applyFont="1" applyFill="1" applyBorder="1" applyAlignment="1">
      <alignment horizontal="center"/>
    </xf>
    <xf numFmtId="175" fontId="1" fillId="24" borderId="16" xfId="60" applyNumberFormat="1" applyFont="1" applyFill="1" applyBorder="1" applyAlignment="1">
      <alignment horizontal="center"/>
    </xf>
    <xf numFmtId="0" fontId="1" fillId="25" borderId="16" xfId="0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center" vertical="center"/>
    </xf>
    <xf numFmtId="175" fontId="2" fillId="0" borderId="16" xfId="60" applyNumberFormat="1" applyFont="1" applyFill="1" applyBorder="1" applyAlignment="1">
      <alignment horizontal="center"/>
    </xf>
    <xf numFmtId="179" fontId="0" fillId="0" borderId="0" xfId="0" applyNumberFormat="1" applyFill="1" applyAlignment="1">
      <alignment/>
    </xf>
    <xf numFmtId="3" fontId="2" fillId="0" borderId="16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/>
    </xf>
    <xf numFmtId="175" fontId="2" fillId="0" borderId="22" xfId="60" applyNumberFormat="1" applyFont="1" applyFill="1" applyBorder="1" applyAlignment="1">
      <alignment horizontal="center"/>
    </xf>
    <xf numFmtId="175" fontId="0" fillId="0" borderId="22" xfId="60" applyNumberFormat="1" applyFont="1" applyFill="1" applyBorder="1" applyAlignment="1">
      <alignment horizontal="center"/>
    </xf>
    <xf numFmtId="1" fontId="1" fillId="0" borderId="23" xfId="0" applyNumberFormat="1" applyFont="1" applyFill="1" applyBorder="1" applyAlignment="1">
      <alignment horizontal="center"/>
    </xf>
    <xf numFmtId="172" fontId="0" fillId="24" borderId="22" xfId="0" applyNumberFormat="1" applyFill="1" applyBorder="1" applyAlignment="1">
      <alignment horizontal="center"/>
    </xf>
    <xf numFmtId="175" fontId="0" fillId="0" borderId="24" xfId="6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24" borderId="16" xfId="0" applyFont="1" applyFill="1" applyBorder="1" applyAlignment="1">
      <alignment/>
    </xf>
    <xf numFmtId="0" fontId="1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8" xfId="0" applyFont="1" applyFill="1" applyBorder="1" applyAlignment="1">
      <alignment/>
    </xf>
    <xf numFmtId="0" fontId="1" fillId="24" borderId="25" xfId="0" applyFont="1" applyFill="1" applyBorder="1" applyAlignment="1">
      <alignment/>
    </xf>
    <xf numFmtId="0" fontId="2" fillId="0" borderId="29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24" borderId="31" xfId="0" applyFont="1" applyFill="1" applyBorder="1" applyAlignment="1">
      <alignment/>
    </xf>
    <xf numFmtId="0" fontId="1" fillId="0" borderId="32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2" fontId="1" fillId="0" borderId="15" xfId="0" applyNumberFormat="1" applyFont="1" applyFill="1" applyBorder="1" applyAlignment="1">
      <alignment/>
    </xf>
    <xf numFmtId="2" fontId="1" fillId="0" borderId="29" xfId="0" applyNumberFormat="1" applyFont="1" applyFill="1" applyBorder="1" applyAlignment="1">
      <alignment/>
    </xf>
    <xf numFmtId="2" fontId="1" fillId="24" borderId="29" xfId="0" applyNumberFormat="1" applyFont="1" applyFill="1" applyBorder="1" applyAlignment="1">
      <alignment/>
    </xf>
    <xf numFmtId="2" fontId="1" fillId="0" borderId="31" xfId="0" applyNumberFormat="1" applyFont="1" applyFill="1" applyBorder="1" applyAlignment="1">
      <alignment/>
    </xf>
    <xf numFmtId="2" fontId="1" fillId="0" borderId="34" xfId="0" applyNumberFormat="1" applyFont="1" applyFill="1" applyBorder="1" applyAlignment="1">
      <alignment/>
    </xf>
    <xf numFmtId="2" fontId="1" fillId="24" borderId="32" xfId="0" applyNumberFormat="1" applyFont="1" applyFill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7" xfId="0" applyNumberFormat="1" applyFont="1" applyFill="1" applyBorder="1" applyAlignment="1">
      <alignment/>
    </xf>
    <xf numFmtId="2" fontId="1" fillId="0" borderId="32" xfId="0" applyNumberFormat="1" applyFont="1" applyFill="1" applyBorder="1" applyAlignment="1">
      <alignment/>
    </xf>
    <xf numFmtId="2" fontId="1" fillId="0" borderId="15" xfId="60" applyNumberFormat="1" applyFont="1" applyFill="1" applyBorder="1" applyAlignment="1">
      <alignment horizontal="center"/>
    </xf>
    <xf numFmtId="2" fontId="1" fillId="0" borderId="35" xfId="0" applyNumberFormat="1" applyFont="1" applyFill="1" applyBorder="1" applyAlignment="1">
      <alignment/>
    </xf>
    <xf numFmtId="2" fontId="1" fillId="24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36" xfId="0" applyFont="1" applyBorder="1" applyAlignment="1">
      <alignment horizontal="center" vertical="center" textRotation="90"/>
    </xf>
    <xf numFmtId="0" fontId="0" fillId="0" borderId="37" xfId="0" applyFont="1" applyBorder="1" applyAlignment="1">
      <alignment horizontal="center" vertical="center" textRotation="90"/>
    </xf>
    <xf numFmtId="0" fontId="0" fillId="0" borderId="38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175" fontId="0" fillId="0" borderId="16" xfId="60" applyNumberFormat="1" applyFont="1" applyBorder="1" applyAlignment="1">
      <alignment/>
    </xf>
    <xf numFmtId="175" fontId="0" fillId="0" borderId="22" xfId="60" applyNumberFormat="1" applyFont="1" applyBorder="1" applyAlignment="1">
      <alignment/>
    </xf>
    <xf numFmtId="175" fontId="0" fillId="0" borderId="16" xfId="60" applyNumberFormat="1" applyFont="1" applyFill="1" applyBorder="1" applyAlignment="1">
      <alignment horizontal="center"/>
    </xf>
    <xf numFmtId="175" fontId="0" fillId="0" borderId="22" xfId="60" applyNumberFormat="1" applyFont="1" applyFill="1" applyBorder="1" applyAlignment="1">
      <alignment horizontal="center"/>
    </xf>
    <xf numFmtId="175" fontId="0" fillId="24" borderId="16" xfId="60" applyNumberFormat="1" applyFont="1" applyFill="1" applyBorder="1" applyAlignment="1">
      <alignment horizontal="center"/>
    </xf>
    <xf numFmtId="175" fontId="0" fillId="24" borderId="22" xfId="60" applyNumberFormat="1" applyFont="1" applyFill="1" applyBorder="1" applyAlignment="1">
      <alignment horizontal="center"/>
    </xf>
    <xf numFmtId="175" fontId="0" fillId="0" borderId="16" xfId="60" applyNumberFormat="1" applyFont="1" applyBorder="1" applyAlignment="1">
      <alignment horizontal="center"/>
    </xf>
    <xf numFmtId="175" fontId="0" fillId="0" borderId="22" xfId="60" applyNumberFormat="1" applyFont="1" applyBorder="1" applyAlignment="1">
      <alignment horizontal="center"/>
    </xf>
    <xf numFmtId="175" fontId="0" fillId="0" borderId="16" xfId="60" applyNumberFormat="1" applyFont="1" applyFill="1" applyBorder="1" applyAlignment="1" quotePrefix="1">
      <alignment horizontal="center"/>
    </xf>
    <xf numFmtId="175" fontId="0" fillId="0" borderId="22" xfId="60" applyNumberFormat="1" applyFont="1" applyFill="1" applyBorder="1" applyAlignment="1" quotePrefix="1">
      <alignment horizontal="center"/>
    </xf>
    <xf numFmtId="175" fontId="11" fillId="0" borderId="16" xfId="60" applyNumberFormat="1" applyFont="1" applyFill="1" applyBorder="1" applyAlignment="1">
      <alignment horizontal="center"/>
    </xf>
    <xf numFmtId="175" fontId="11" fillId="24" borderId="16" xfId="6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0" fillId="0" borderId="0" xfId="60" applyNumberFormat="1" applyFont="1" applyAlignment="1">
      <alignment/>
    </xf>
    <xf numFmtId="4" fontId="0" fillId="0" borderId="0" xfId="60" applyNumberFormat="1" applyFont="1" applyBorder="1" applyAlignment="1">
      <alignment horizontal="center"/>
    </xf>
    <xf numFmtId="4" fontId="0" fillId="0" borderId="0" xfId="60" applyNumberFormat="1" applyFont="1" applyAlignment="1">
      <alignment horizontal="center"/>
    </xf>
    <xf numFmtId="4" fontId="10" fillId="0" borderId="0" xfId="60" applyNumberFormat="1" applyFont="1" applyAlignment="1">
      <alignment/>
    </xf>
    <xf numFmtId="4" fontId="9" fillId="7" borderId="0" xfId="60" applyNumberFormat="1" applyFont="1" applyFill="1" applyBorder="1" applyAlignment="1">
      <alignment horizontal="center"/>
    </xf>
    <xf numFmtId="4" fontId="1" fillId="0" borderId="0" xfId="60" applyNumberFormat="1" applyFont="1" applyBorder="1" applyAlignment="1">
      <alignment horizontal="center"/>
    </xf>
    <xf numFmtId="4" fontId="1" fillId="7" borderId="0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3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1" fillId="0" borderId="41" xfId="0" applyFont="1" applyFill="1" applyBorder="1" applyAlignment="1">
      <alignment horizontal="center" vertical="center"/>
    </xf>
    <xf numFmtId="4" fontId="0" fillId="0" borderId="0" xfId="60" applyNumberFormat="1" applyFont="1" applyFill="1" applyAlignment="1">
      <alignment/>
    </xf>
    <xf numFmtId="4" fontId="0" fillId="0" borderId="0" xfId="60" applyNumberFormat="1" applyFont="1" applyFill="1" applyBorder="1" applyAlignment="1">
      <alignment horizontal="center"/>
    </xf>
    <xf numFmtId="4" fontId="0" fillId="0" borderId="0" xfId="60" applyNumberFormat="1" applyFont="1" applyFill="1" applyAlignment="1">
      <alignment horizontal="center"/>
    </xf>
    <xf numFmtId="4" fontId="10" fillId="0" borderId="0" xfId="60" applyNumberFormat="1" applyFont="1" applyFill="1" applyAlignment="1">
      <alignment/>
    </xf>
    <xf numFmtId="4" fontId="9" fillId="0" borderId="0" xfId="60" applyNumberFormat="1" applyFont="1" applyFill="1" applyBorder="1" applyAlignment="1">
      <alignment horizontal="center"/>
    </xf>
    <xf numFmtId="4" fontId="1" fillId="0" borderId="0" xfId="60" applyNumberFormat="1" applyFont="1" applyFill="1" applyBorder="1" applyAlignment="1">
      <alignment horizontal="center"/>
    </xf>
    <xf numFmtId="0" fontId="1" fillId="0" borderId="42" xfId="0" applyFont="1" applyBorder="1" applyAlignment="1">
      <alignment horizontal="center" vertical="center" textRotation="90"/>
    </xf>
    <xf numFmtId="0" fontId="1" fillId="0" borderId="43" xfId="0" applyFont="1" applyBorder="1" applyAlignment="1">
      <alignment horizontal="center" vertical="center"/>
    </xf>
    <xf numFmtId="4" fontId="1" fillId="0" borderId="42" xfId="0" applyNumberFormat="1" applyFont="1" applyFill="1" applyBorder="1" applyAlignment="1">
      <alignment horizontal="center" vertical="center" textRotation="90"/>
    </xf>
    <xf numFmtId="0" fontId="1" fillId="0" borderId="44" xfId="0" applyFont="1" applyBorder="1" applyAlignment="1">
      <alignment horizontal="center" vertical="center" textRotation="90"/>
    </xf>
    <xf numFmtId="0" fontId="1" fillId="0" borderId="45" xfId="0" applyFont="1" applyBorder="1" applyAlignment="1">
      <alignment horizontal="center" vertical="center"/>
    </xf>
    <xf numFmtId="1" fontId="1" fillId="0" borderId="46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72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3" fontId="1" fillId="0" borderId="47" xfId="0" applyNumberFormat="1" applyFont="1" applyFill="1" applyBorder="1" applyAlignment="1">
      <alignment horizontal="left"/>
    </xf>
    <xf numFmtId="0" fontId="1" fillId="0" borderId="48" xfId="0" applyFont="1" applyFill="1" applyBorder="1" applyAlignment="1">
      <alignment/>
    </xf>
    <xf numFmtId="0" fontId="1" fillId="0" borderId="48" xfId="0" applyNumberFormat="1" applyFont="1" applyFill="1" applyBorder="1" applyAlignment="1">
      <alignment horizontal="center"/>
    </xf>
    <xf numFmtId="171" fontId="1" fillId="0" borderId="48" xfId="6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1" fontId="1" fillId="0" borderId="48" xfId="0" applyNumberFormat="1" applyFont="1" applyFill="1" applyBorder="1" applyAlignment="1">
      <alignment horizontal="center"/>
    </xf>
    <xf numFmtId="4" fontId="1" fillId="0" borderId="48" xfId="0" applyNumberFormat="1" applyFont="1" applyFill="1" applyBorder="1" applyAlignment="1">
      <alignment horizontal="center"/>
    </xf>
    <xf numFmtId="3" fontId="1" fillId="0" borderId="48" xfId="0" applyNumberFormat="1" applyFont="1" applyFill="1" applyBorder="1" applyAlignment="1">
      <alignment horizontal="center"/>
    </xf>
    <xf numFmtId="172" fontId="1" fillId="0" borderId="48" xfId="0" applyNumberFormat="1" applyFont="1" applyFill="1" applyBorder="1" applyAlignment="1">
      <alignment horizontal="center"/>
    </xf>
    <xf numFmtId="0" fontId="1" fillId="0" borderId="47" xfId="0" applyFont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49" xfId="0" applyNumberFormat="1" applyFont="1" applyFill="1" applyBorder="1" applyAlignment="1">
      <alignment horizontal="center"/>
    </xf>
    <xf numFmtId="171" fontId="2" fillId="0" borderId="49" xfId="6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1" fontId="2" fillId="0" borderId="49" xfId="0" applyNumberFormat="1" applyFont="1" applyFill="1" applyBorder="1" applyAlignment="1">
      <alignment horizontal="center"/>
    </xf>
    <xf numFmtId="172" fontId="2" fillId="0" borderId="49" xfId="0" applyNumberFormat="1" applyFont="1" applyFill="1" applyBorder="1" applyAlignment="1">
      <alignment horizontal="center"/>
    </xf>
    <xf numFmtId="4" fontId="2" fillId="0" borderId="49" xfId="0" applyNumberFormat="1" applyFont="1" applyFill="1" applyBorder="1" applyAlignment="1">
      <alignment horizontal="center"/>
    </xf>
    <xf numFmtId="3" fontId="2" fillId="0" borderId="49" xfId="0" applyNumberFormat="1" applyFont="1" applyFill="1" applyBorder="1" applyAlignment="1">
      <alignment horizontal="center"/>
    </xf>
    <xf numFmtId="175" fontId="2" fillId="0" borderId="49" xfId="60" applyNumberFormat="1" applyFont="1" applyFill="1" applyBorder="1" applyAlignment="1">
      <alignment horizontal="center"/>
    </xf>
    <xf numFmtId="2" fontId="2" fillId="0" borderId="49" xfId="0" applyNumberFormat="1" applyFont="1" applyBorder="1" applyAlignment="1">
      <alignment/>
    </xf>
    <xf numFmtId="0" fontId="2" fillId="0" borderId="49" xfId="0" applyFont="1" applyBorder="1" applyAlignment="1">
      <alignment/>
    </xf>
    <xf numFmtId="173" fontId="1" fillId="0" borderId="49" xfId="0" applyNumberFormat="1" applyFont="1" applyFill="1" applyBorder="1" applyAlignment="1">
      <alignment horizontal="left"/>
    </xf>
    <xf numFmtId="0" fontId="1" fillId="0" borderId="49" xfId="0" applyFont="1" applyFill="1" applyBorder="1" applyAlignment="1">
      <alignment/>
    </xf>
    <xf numFmtId="0" fontId="1" fillId="0" borderId="49" xfId="0" applyNumberFormat="1" applyFont="1" applyFill="1" applyBorder="1" applyAlignment="1">
      <alignment horizontal="center"/>
    </xf>
    <xf numFmtId="171" fontId="1" fillId="0" borderId="49" xfId="6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1" fontId="1" fillId="0" borderId="49" xfId="0" applyNumberFormat="1" applyFont="1" applyFill="1" applyBorder="1" applyAlignment="1">
      <alignment horizontal="center"/>
    </xf>
    <xf numFmtId="4" fontId="1" fillId="0" borderId="49" xfId="0" applyNumberFormat="1" applyFont="1" applyFill="1" applyBorder="1" applyAlignment="1">
      <alignment horizontal="center"/>
    </xf>
    <xf numFmtId="3" fontId="1" fillId="0" borderId="49" xfId="0" applyNumberFormat="1" applyFont="1" applyFill="1" applyBorder="1" applyAlignment="1">
      <alignment horizontal="center"/>
    </xf>
    <xf numFmtId="172" fontId="1" fillId="0" borderId="49" xfId="0" applyNumberFormat="1" applyFont="1" applyFill="1" applyBorder="1" applyAlignment="1">
      <alignment horizontal="center"/>
    </xf>
    <xf numFmtId="4" fontId="2" fillId="0" borderId="49" xfId="0" applyNumberFormat="1" applyFont="1" applyFill="1" applyBorder="1" applyAlignment="1">
      <alignment/>
    </xf>
    <xf numFmtId="175" fontId="1" fillId="0" borderId="49" xfId="60" applyNumberFormat="1" applyFont="1" applyFill="1" applyBorder="1" applyAlignment="1">
      <alignment horizontal="center"/>
    </xf>
    <xf numFmtId="0" fontId="1" fillId="0" borderId="49" xfId="0" applyFont="1" applyBorder="1" applyAlignment="1">
      <alignment/>
    </xf>
    <xf numFmtId="4" fontId="1" fillId="0" borderId="49" xfId="60" applyNumberFormat="1" applyFont="1" applyFill="1" applyBorder="1" applyAlignment="1">
      <alignment horizontal="center"/>
    </xf>
    <xf numFmtId="0" fontId="1" fillId="0" borderId="49" xfId="0" applyFont="1" applyFill="1" applyBorder="1" applyAlignment="1" quotePrefix="1">
      <alignment horizontal="center"/>
    </xf>
    <xf numFmtId="2" fontId="1" fillId="0" borderId="49" xfId="0" applyNumberFormat="1" applyFont="1" applyFill="1" applyBorder="1" applyAlignment="1">
      <alignment horizontal="right"/>
    </xf>
    <xf numFmtId="172" fontId="1" fillId="3" borderId="49" xfId="0" applyNumberFormat="1" applyFont="1" applyFill="1" applyBorder="1" applyAlignment="1">
      <alignment horizontal="center"/>
    </xf>
    <xf numFmtId="173" fontId="1" fillId="24" borderId="49" xfId="0" applyNumberFormat="1" applyFont="1" applyFill="1" applyBorder="1" applyAlignment="1">
      <alignment horizontal="left"/>
    </xf>
    <xf numFmtId="0" fontId="1" fillId="24" borderId="49" xfId="0" applyNumberFormat="1" applyFont="1" applyFill="1" applyBorder="1" applyAlignment="1">
      <alignment horizontal="center"/>
    </xf>
    <xf numFmtId="0" fontId="1" fillId="24" borderId="49" xfId="0" applyFont="1" applyFill="1" applyBorder="1" applyAlignment="1">
      <alignment horizontal="center"/>
    </xf>
    <xf numFmtId="175" fontId="1" fillId="24" borderId="49" xfId="60" applyNumberFormat="1" applyFont="1" applyFill="1" applyBorder="1" applyAlignment="1">
      <alignment horizontal="center"/>
    </xf>
    <xf numFmtId="4" fontId="1" fillId="24" borderId="49" xfId="60" applyNumberFormat="1" applyFont="1" applyFill="1" applyBorder="1" applyAlignment="1">
      <alignment horizontal="center"/>
    </xf>
    <xf numFmtId="3" fontId="1" fillId="24" borderId="49" xfId="0" applyNumberFormat="1" applyFont="1" applyFill="1" applyBorder="1" applyAlignment="1">
      <alignment horizontal="center"/>
    </xf>
    <xf numFmtId="172" fontId="1" fillId="24" borderId="49" xfId="0" applyNumberFormat="1" applyFont="1" applyFill="1" applyBorder="1" applyAlignment="1">
      <alignment horizontal="center"/>
    </xf>
    <xf numFmtId="0" fontId="1" fillId="24" borderId="49" xfId="0" applyFont="1" applyFill="1" applyBorder="1" applyAlignment="1" quotePrefix="1">
      <alignment horizontal="center"/>
    </xf>
    <xf numFmtId="2" fontId="1" fillId="24" borderId="49" xfId="0" applyNumberFormat="1" applyFont="1" applyFill="1" applyBorder="1" applyAlignment="1">
      <alignment horizontal="right"/>
    </xf>
    <xf numFmtId="0" fontId="1" fillId="24" borderId="49" xfId="0" applyFont="1" applyFill="1" applyBorder="1" applyAlignment="1">
      <alignment/>
    </xf>
    <xf numFmtId="2" fontId="1" fillId="24" borderId="49" xfId="0" applyNumberFormat="1" applyFont="1" applyFill="1" applyBorder="1" applyAlignment="1">
      <alignment/>
    </xf>
    <xf numFmtId="2" fontId="1" fillId="0" borderId="49" xfId="0" applyNumberFormat="1" applyFont="1" applyBorder="1" applyAlignment="1">
      <alignment horizontal="right"/>
    </xf>
    <xf numFmtId="175" fontId="1" fillId="0" borderId="49" xfId="60" applyNumberFormat="1" applyFont="1" applyFill="1" applyBorder="1" applyAlignment="1">
      <alignment horizontal="center"/>
    </xf>
    <xf numFmtId="2" fontId="1" fillId="0" borderId="49" xfId="60" applyNumberFormat="1" applyFont="1" applyFill="1" applyBorder="1" applyAlignment="1">
      <alignment horizontal="right"/>
    </xf>
    <xf numFmtId="175" fontId="1" fillId="0" borderId="49" xfId="60" applyNumberFormat="1" applyFont="1" applyFill="1" applyBorder="1" applyAlignment="1" quotePrefix="1">
      <alignment horizontal="center"/>
    </xf>
    <xf numFmtId="0" fontId="1" fillId="7" borderId="49" xfId="0" applyFont="1" applyFill="1" applyBorder="1" applyAlignment="1">
      <alignment horizontal="center"/>
    </xf>
    <xf numFmtId="0" fontId="1" fillId="25" borderId="49" xfId="0" applyFont="1" applyFill="1" applyBorder="1" applyAlignment="1">
      <alignment horizontal="center"/>
    </xf>
    <xf numFmtId="171" fontId="1" fillId="0" borderId="49" xfId="60" applyNumberFormat="1" applyFont="1" applyFill="1" applyBorder="1" applyAlignment="1">
      <alignment horizontal="center"/>
    </xf>
    <xf numFmtId="0" fontId="1" fillId="0" borderId="49" xfId="0" applyFont="1" applyBorder="1" applyAlignment="1">
      <alignment horizontal="right"/>
    </xf>
    <xf numFmtId="173" fontId="2" fillId="0" borderId="50" xfId="0" applyNumberFormat="1" applyFont="1" applyFill="1" applyBorder="1" applyAlignment="1">
      <alignment horizontal="left"/>
    </xf>
    <xf numFmtId="0" fontId="2" fillId="0" borderId="51" xfId="0" applyFont="1" applyBorder="1" applyAlignment="1">
      <alignment/>
    </xf>
    <xf numFmtId="173" fontId="1" fillId="0" borderId="50" xfId="0" applyNumberFormat="1" applyFont="1" applyFill="1" applyBorder="1" applyAlignment="1">
      <alignment horizontal="left"/>
    </xf>
    <xf numFmtId="0" fontId="1" fillId="0" borderId="51" xfId="0" applyFont="1" applyBorder="1" applyAlignment="1">
      <alignment/>
    </xf>
    <xf numFmtId="1" fontId="1" fillId="0" borderId="50" xfId="0" applyNumberFormat="1" applyFont="1" applyFill="1" applyBorder="1" applyAlignment="1">
      <alignment horizontal="center"/>
    </xf>
    <xf numFmtId="2" fontId="1" fillId="0" borderId="51" xfId="0" applyNumberFormat="1" applyFont="1" applyFill="1" applyBorder="1" applyAlignment="1">
      <alignment/>
    </xf>
    <xf numFmtId="1" fontId="1" fillId="24" borderId="50" xfId="0" applyNumberFormat="1" applyFont="1" applyFill="1" applyBorder="1" applyAlignment="1">
      <alignment horizontal="center"/>
    </xf>
    <xf numFmtId="2" fontId="1" fillId="24" borderId="51" xfId="0" applyNumberFormat="1" applyFont="1" applyFill="1" applyBorder="1" applyAlignment="1">
      <alignment/>
    </xf>
    <xf numFmtId="0" fontId="1" fillId="24" borderId="51" xfId="0" applyFont="1" applyFill="1" applyBorder="1" applyAlignment="1">
      <alignment/>
    </xf>
    <xf numFmtId="1" fontId="1" fillId="0" borderId="52" xfId="0" applyNumberFormat="1" applyFont="1" applyFill="1" applyBorder="1" applyAlignment="1">
      <alignment horizontal="center"/>
    </xf>
    <xf numFmtId="173" fontId="1" fillId="0" borderId="53" xfId="0" applyNumberFormat="1" applyFont="1" applyFill="1" applyBorder="1" applyAlignment="1">
      <alignment horizontal="left"/>
    </xf>
    <xf numFmtId="0" fontId="1" fillId="0" borderId="53" xfId="0" applyNumberFormat="1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175" fontId="1" fillId="0" borderId="53" xfId="60" applyNumberFormat="1" applyFont="1" applyFill="1" applyBorder="1" applyAlignment="1">
      <alignment horizontal="center"/>
    </xf>
    <xf numFmtId="4" fontId="1" fillId="0" borderId="53" xfId="0" applyNumberFormat="1" applyFont="1" applyFill="1" applyBorder="1" applyAlignment="1">
      <alignment horizontal="center"/>
    </xf>
    <xf numFmtId="3" fontId="1" fillId="0" borderId="53" xfId="0" applyNumberFormat="1" applyFont="1" applyFill="1" applyBorder="1" applyAlignment="1">
      <alignment horizontal="center"/>
    </xf>
    <xf numFmtId="172" fontId="1" fillId="0" borderId="53" xfId="0" applyNumberFormat="1" applyFont="1" applyFill="1" applyBorder="1" applyAlignment="1">
      <alignment horizontal="center"/>
    </xf>
    <xf numFmtId="0" fontId="1" fillId="0" borderId="53" xfId="0" applyFont="1" applyFill="1" applyBorder="1" applyAlignment="1" quotePrefix="1">
      <alignment horizontal="center"/>
    </xf>
    <xf numFmtId="2" fontId="1" fillId="0" borderId="53" xfId="0" applyNumberFormat="1" applyFont="1" applyFill="1" applyBorder="1" applyAlignment="1">
      <alignment horizontal="right"/>
    </xf>
    <xf numFmtId="0" fontId="1" fillId="0" borderId="53" xfId="0" applyFont="1" applyBorder="1" applyAlignment="1">
      <alignment horizontal="right"/>
    </xf>
    <xf numFmtId="0" fontId="1" fillId="0" borderId="53" xfId="0" applyFont="1" applyFill="1" applyBorder="1" applyAlignment="1">
      <alignment/>
    </xf>
    <xf numFmtId="2" fontId="1" fillId="0" borderId="54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48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40" xfId="0" applyFont="1" applyBorder="1" applyAlignment="1">
      <alignment/>
    </xf>
    <xf numFmtId="4" fontId="0" fillId="0" borderId="49" xfId="0" applyNumberFormat="1" applyFont="1" applyBorder="1" applyAlignment="1">
      <alignment/>
    </xf>
    <xf numFmtId="175" fontId="0" fillId="0" borderId="49" xfId="60" applyNumberFormat="1" applyFont="1" applyBorder="1" applyAlignment="1">
      <alignment/>
    </xf>
    <xf numFmtId="4" fontId="0" fillId="0" borderId="49" xfId="0" applyNumberFormat="1" applyFont="1" applyFill="1" applyBorder="1" applyAlignment="1">
      <alignment/>
    </xf>
    <xf numFmtId="175" fontId="0" fillId="0" borderId="49" xfId="6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" fontId="0" fillId="24" borderId="49" xfId="0" applyNumberFormat="1" applyFont="1" applyFill="1" applyBorder="1" applyAlignment="1">
      <alignment/>
    </xf>
    <xf numFmtId="175" fontId="0" fillId="24" borderId="49" xfId="60" applyNumberFormat="1" applyFont="1" applyFill="1" applyBorder="1" applyAlignment="1">
      <alignment horizontal="center"/>
    </xf>
    <xf numFmtId="0" fontId="0" fillId="24" borderId="0" xfId="0" applyFont="1" applyFill="1" applyAlignment="1">
      <alignment/>
    </xf>
    <xf numFmtId="3" fontId="0" fillId="0" borderId="49" xfId="0" applyNumberFormat="1" applyFont="1" applyFill="1" applyBorder="1" applyAlignment="1">
      <alignment horizontal="center"/>
    </xf>
    <xf numFmtId="175" fontId="0" fillId="0" borderId="49" xfId="60" applyNumberFormat="1" applyFont="1" applyBorder="1" applyAlignment="1">
      <alignment horizontal="center"/>
    </xf>
    <xf numFmtId="175" fontId="0" fillId="0" borderId="49" xfId="60" applyNumberFormat="1" applyFont="1" applyFill="1" applyBorder="1" applyAlignment="1" quotePrefix="1">
      <alignment horizontal="center"/>
    </xf>
    <xf numFmtId="172" fontId="0" fillId="24" borderId="49" xfId="0" applyNumberFormat="1" applyFont="1" applyFill="1" applyBorder="1" applyAlignment="1">
      <alignment horizontal="center"/>
    </xf>
    <xf numFmtId="172" fontId="0" fillId="0" borderId="49" xfId="0" applyNumberFormat="1" applyFont="1" applyFill="1" applyBorder="1" applyAlignment="1">
      <alignment horizontal="center"/>
    </xf>
    <xf numFmtId="4" fontId="0" fillId="0" borderId="53" xfId="0" applyNumberFormat="1" applyFont="1" applyFill="1" applyBorder="1" applyAlignment="1">
      <alignment/>
    </xf>
    <xf numFmtId="172" fontId="0" fillId="0" borderId="53" xfId="0" applyNumberFormat="1" applyFont="1" applyFill="1" applyBorder="1" applyAlignment="1">
      <alignment horizontal="center"/>
    </xf>
    <xf numFmtId="175" fontId="0" fillId="0" borderId="53" xfId="6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79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" fontId="1" fillId="26" borderId="50" xfId="0" applyNumberFormat="1" applyFont="1" applyFill="1" applyBorder="1" applyAlignment="1">
      <alignment horizontal="center"/>
    </xf>
    <xf numFmtId="173" fontId="1" fillId="26" borderId="49" xfId="0" applyNumberFormat="1" applyFont="1" applyFill="1" applyBorder="1" applyAlignment="1">
      <alignment horizontal="left"/>
    </xf>
    <xf numFmtId="0" fontId="1" fillId="26" borderId="49" xfId="0" applyNumberFormat="1" applyFont="1" applyFill="1" applyBorder="1" applyAlignment="1">
      <alignment horizontal="center"/>
    </xf>
    <xf numFmtId="0" fontId="1" fillId="26" borderId="49" xfId="0" applyFont="1" applyFill="1" applyBorder="1" applyAlignment="1">
      <alignment horizontal="center"/>
    </xf>
    <xf numFmtId="175" fontId="1" fillId="26" borderId="49" xfId="60" applyNumberFormat="1" applyFont="1" applyFill="1" applyBorder="1" applyAlignment="1">
      <alignment horizontal="center"/>
    </xf>
    <xf numFmtId="4" fontId="0" fillId="26" borderId="49" xfId="0" applyNumberFormat="1" applyFont="1" applyFill="1" applyBorder="1" applyAlignment="1">
      <alignment/>
    </xf>
    <xf numFmtId="4" fontId="1" fillId="26" borderId="49" xfId="0" applyNumberFormat="1" applyFont="1" applyFill="1" applyBorder="1" applyAlignment="1">
      <alignment horizontal="center"/>
    </xf>
    <xf numFmtId="3" fontId="1" fillId="26" borderId="49" xfId="0" applyNumberFormat="1" applyFont="1" applyFill="1" applyBorder="1" applyAlignment="1">
      <alignment horizontal="center"/>
    </xf>
    <xf numFmtId="172" fontId="1" fillId="26" borderId="49" xfId="0" applyNumberFormat="1" applyFont="1" applyFill="1" applyBorder="1" applyAlignment="1">
      <alignment horizontal="center"/>
    </xf>
    <xf numFmtId="0" fontId="1" fillId="26" borderId="49" xfId="0" applyFont="1" applyFill="1" applyBorder="1" applyAlignment="1" quotePrefix="1">
      <alignment horizontal="center"/>
    </xf>
    <xf numFmtId="172" fontId="0" fillId="26" borderId="49" xfId="0" applyNumberFormat="1" applyFont="1" applyFill="1" applyBorder="1" applyAlignment="1">
      <alignment horizontal="center"/>
    </xf>
    <xf numFmtId="175" fontId="0" fillId="26" borderId="49" xfId="60" applyNumberFormat="1" applyFont="1" applyFill="1" applyBorder="1" applyAlignment="1">
      <alignment horizontal="center"/>
    </xf>
    <xf numFmtId="2" fontId="1" fillId="26" borderId="49" xfId="0" applyNumberFormat="1" applyFont="1" applyFill="1" applyBorder="1" applyAlignment="1">
      <alignment horizontal="right"/>
    </xf>
    <xf numFmtId="0" fontId="1" fillId="26" borderId="49" xfId="0" applyFont="1" applyFill="1" applyBorder="1" applyAlignment="1">
      <alignment horizontal="right"/>
    </xf>
    <xf numFmtId="0" fontId="1" fillId="26" borderId="49" xfId="0" applyFont="1" applyFill="1" applyBorder="1" applyAlignment="1">
      <alignment/>
    </xf>
    <xf numFmtId="2" fontId="1" fillId="26" borderId="51" xfId="0" applyNumberFormat="1" applyFont="1" applyFill="1" applyBorder="1" applyAlignment="1">
      <alignment/>
    </xf>
    <xf numFmtId="0" fontId="0" fillId="26" borderId="0" xfId="0" applyFont="1" applyFill="1" applyAlignment="1">
      <alignment/>
    </xf>
    <xf numFmtId="175" fontId="1" fillId="26" borderId="49" xfId="60" applyNumberFormat="1" applyFont="1" applyFill="1" applyBorder="1" applyAlignment="1">
      <alignment horizontal="center"/>
    </xf>
    <xf numFmtId="4" fontId="1" fillId="26" borderId="49" xfId="60" applyNumberFormat="1" applyFont="1" applyFill="1" applyBorder="1" applyAlignment="1">
      <alignment horizontal="center"/>
    </xf>
    <xf numFmtId="4" fontId="0" fillId="10" borderId="49" xfId="0" applyNumberFormat="1" applyFont="1" applyFill="1" applyBorder="1" applyAlignment="1">
      <alignment/>
    </xf>
    <xf numFmtId="2" fontId="1" fillId="0" borderId="49" xfId="0" applyNumberFormat="1" applyFont="1" applyFill="1" applyBorder="1" applyAlignment="1">
      <alignment horizontal="right" vertical="center"/>
    </xf>
    <xf numFmtId="1" fontId="1" fillId="0" borderId="56" xfId="0" applyNumberFormat="1" applyFont="1" applyFill="1" applyBorder="1" applyAlignment="1">
      <alignment horizontal="center"/>
    </xf>
    <xf numFmtId="173" fontId="1" fillId="0" borderId="57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58" xfId="0" applyBorder="1" applyAlignment="1">
      <alignment/>
    </xf>
    <xf numFmtId="0" fontId="1" fillId="0" borderId="56" xfId="0" applyFont="1" applyFill="1" applyBorder="1" applyAlignment="1">
      <alignment/>
    </xf>
    <xf numFmtId="0" fontId="1" fillId="0" borderId="56" xfId="0" applyNumberFormat="1" applyFont="1" applyFill="1" applyBorder="1" applyAlignment="1">
      <alignment horizontal="center"/>
    </xf>
    <xf numFmtId="0" fontId="0" fillId="0" borderId="56" xfId="0" applyBorder="1" applyAlignment="1">
      <alignment/>
    </xf>
    <xf numFmtId="173" fontId="1" fillId="0" borderId="56" xfId="0" applyNumberFormat="1" applyFont="1" applyFill="1" applyBorder="1" applyAlignment="1">
      <alignment horizontal="left"/>
    </xf>
    <xf numFmtId="1" fontId="1" fillId="24" borderId="56" xfId="0" applyNumberFormat="1" applyFont="1" applyFill="1" applyBorder="1" applyAlignment="1">
      <alignment horizontal="center"/>
    </xf>
    <xf numFmtId="0" fontId="1" fillId="24" borderId="56" xfId="0" applyNumberFormat="1" applyFont="1" applyFill="1" applyBorder="1" applyAlignment="1">
      <alignment horizontal="center"/>
    </xf>
    <xf numFmtId="0" fontId="0" fillId="24" borderId="56" xfId="0" applyFont="1" applyFill="1" applyBorder="1" applyAlignment="1">
      <alignment horizontal="center" vertical="center" wrapText="1"/>
    </xf>
    <xf numFmtId="0" fontId="14" fillId="24" borderId="56" xfId="0" applyFont="1" applyFill="1" applyBorder="1" applyAlignment="1">
      <alignment horizontal="left" vertical="center" wrapText="1"/>
    </xf>
    <xf numFmtId="1" fontId="0" fillId="0" borderId="56" xfId="0" applyNumberFormat="1" applyFont="1" applyFill="1" applyBorder="1" applyAlignment="1">
      <alignment horizontal="left" vertical="center"/>
    </xf>
    <xf numFmtId="1" fontId="0" fillId="0" borderId="56" xfId="0" applyNumberFormat="1" applyFont="1" applyFill="1" applyBorder="1" applyAlignment="1">
      <alignment horizontal="center" vertical="center"/>
    </xf>
    <xf numFmtId="0" fontId="14" fillId="24" borderId="59" xfId="0" applyFont="1" applyFill="1" applyBorder="1" applyAlignment="1">
      <alignment horizontal="left" vertical="center" wrapText="1"/>
    </xf>
    <xf numFmtId="0" fontId="0" fillId="24" borderId="59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/>
    </xf>
    <xf numFmtId="173" fontId="0" fillId="0" borderId="56" xfId="0" applyNumberFormat="1" applyFont="1" applyFill="1" applyBorder="1" applyAlignment="1">
      <alignment horizontal="left"/>
    </xf>
    <xf numFmtId="0" fontId="0" fillId="24" borderId="41" xfId="0" applyFont="1" applyFill="1" applyBorder="1" applyAlignment="1">
      <alignment horizontal="center" vertical="center" wrapText="1"/>
    </xf>
    <xf numFmtId="1" fontId="0" fillId="0" borderId="41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/>
    </xf>
    <xf numFmtId="1" fontId="0" fillId="0" borderId="56" xfId="0" applyNumberFormat="1" applyFont="1" applyFill="1" applyBorder="1" applyAlignment="1">
      <alignment horizontal="center"/>
    </xf>
    <xf numFmtId="1" fontId="1" fillId="17" borderId="50" xfId="0" applyNumberFormat="1" applyFont="1" applyFill="1" applyBorder="1" applyAlignment="1">
      <alignment horizontal="center"/>
    </xf>
    <xf numFmtId="0" fontId="1" fillId="17" borderId="49" xfId="0" applyFont="1" applyFill="1" applyBorder="1" applyAlignment="1">
      <alignment/>
    </xf>
    <xf numFmtId="0" fontId="1" fillId="17" borderId="49" xfId="0" applyNumberFormat="1" applyFont="1" applyFill="1" applyBorder="1" applyAlignment="1">
      <alignment horizontal="center"/>
    </xf>
    <xf numFmtId="0" fontId="1" fillId="17" borderId="49" xfId="0" applyFont="1" applyFill="1" applyBorder="1" applyAlignment="1">
      <alignment horizontal="center"/>
    </xf>
    <xf numFmtId="1" fontId="1" fillId="17" borderId="49" xfId="0" applyNumberFormat="1" applyFont="1" applyFill="1" applyBorder="1" applyAlignment="1">
      <alignment horizontal="center"/>
    </xf>
    <xf numFmtId="175" fontId="1" fillId="17" borderId="49" xfId="60" applyNumberFormat="1" applyFont="1" applyFill="1" applyBorder="1" applyAlignment="1">
      <alignment horizontal="center"/>
    </xf>
    <xf numFmtId="4" fontId="0" fillId="17" borderId="49" xfId="0" applyNumberFormat="1" applyFont="1" applyFill="1" applyBorder="1" applyAlignment="1">
      <alignment/>
    </xf>
    <xf numFmtId="4" fontId="1" fillId="17" borderId="49" xfId="60" applyNumberFormat="1" applyFont="1" applyFill="1" applyBorder="1" applyAlignment="1">
      <alignment horizontal="center"/>
    </xf>
    <xf numFmtId="3" fontId="1" fillId="17" borderId="49" xfId="0" applyNumberFormat="1" applyFont="1" applyFill="1" applyBorder="1" applyAlignment="1">
      <alignment horizontal="center"/>
    </xf>
    <xf numFmtId="172" fontId="1" fillId="17" borderId="49" xfId="0" applyNumberFormat="1" applyFont="1" applyFill="1" applyBorder="1" applyAlignment="1">
      <alignment horizontal="center"/>
    </xf>
    <xf numFmtId="0" fontId="1" fillId="17" borderId="49" xfId="0" applyFont="1" applyFill="1" applyBorder="1" applyAlignment="1" quotePrefix="1">
      <alignment horizontal="center"/>
    </xf>
    <xf numFmtId="175" fontId="0" fillId="17" borderId="49" xfId="60" applyNumberFormat="1" applyFont="1" applyFill="1" applyBorder="1" applyAlignment="1">
      <alignment horizontal="center"/>
    </xf>
    <xf numFmtId="2" fontId="1" fillId="17" borderId="49" xfId="0" applyNumberFormat="1" applyFont="1" applyFill="1" applyBorder="1" applyAlignment="1">
      <alignment horizontal="right"/>
    </xf>
    <xf numFmtId="2" fontId="1" fillId="17" borderId="51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3" fontId="1" fillId="17" borderId="49" xfId="0" applyNumberFormat="1" applyFont="1" applyFill="1" applyBorder="1" applyAlignment="1">
      <alignment horizontal="left"/>
    </xf>
    <xf numFmtId="175" fontId="1" fillId="17" borderId="49" xfId="60" applyNumberFormat="1" applyFont="1" applyFill="1" applyBorder="1" applyAlignment="1">
      <alignment horizontal="center"/>
    </xf>
    <xf numFmtId="2" fontId="1" fillId="17" borderId="49" xfId="60" applyNumberFormat="1" applyFont="1" applyFill="1" applyBorder="1" applyAlignment="1">
      <alignment horizontal="right"/>
    </xf>
    <xf numFmtId="1" fontId="1" fillId="7" borderId="50" xfId="0" applyNumberFormat="1" applyFont="1" applyFill="1" applyBorder="1" applyAlignment="1">
      <alignment horizontal="center"/>
    </xf>
    <xf numFmtId="173" fontId="1" fillId="7" borderId="49" xfId="0" applyNumberFormat="1" applyFont="1" applyFill="1" applyBorder="1" applyAlignment="1">
      <alignment horizontal="left"/>
    </xf>
    <xf numFmtId="0" fontId="1" fillId="7" borderId="49" xfId="0" applyNumberFormat="1" applyFont="1" applyFill="1" applyBorder="1" applyAlignment="1">
      <alignment horizontal="center"/>
    </xf>
    <xf numFmtId="175" fontId="1" fillId="7" borderId="49" xfId="60" applyNumberFormat="1" applyFont="1" applyFill="1" applyBorder="1" applyAlignment="1">
      <alignment horizontal="center"/>
    </xf>
    <xf numFmtId="4" fontId="0" fillId="7" borderId="49" xfId="0" applyNumberFormat="1" applyFont="1" applyFill="1" applyBorder="1" applyAlignment="1">
      <alignment/>
    </xf>
    <xf numFmtId="4" fontId="1" fillId="7" borderId="49" xfId="60" applyNumberFormat="1" applyFont="1" applyFill="1" applyBorder="1" applyAlignment="1">
      <alignment horizontal="center"/>
    </xf>
    <xf numFmtId="3" fontId="1" fillId="7" borderId="49" xfId="0" applyNumberFormat="1" applyFont="1" applyFill="1" applyBorder="1" applyAlignment="1">
      <alignment horizontal="center"/>
    </xf>
    <xf numFmtId="172" fontId="1" fillId="7" borderId="49" xfId="0" applyNumberFormat="1" applyFont="1" applyFill="1" applyBorder="1" applyAlignment="1">
      <alignment horizontal="center"/>
    </xf>
    <xf numFmtId="0" fontId="1" fillId="7" borderId="49" xfId="0" applyFont="1" applyFill="1" applyBorder="1" applyAlignment="1" quotePrefix="1">
      <alignment horizontal="center"/>
    </xf>
    <xf numFmtId="175" fontId="0" fillId="7" borderId="49" xfId="60" applyNumberFormat="1" applyFont="1" applyFill="1" applyBorder="1" applyAlignment="1">
      <alignment horizontal="center"/>
    </xf>
    <xf numFmtId="2" fontId="1" fillId="7" borderId="49" xfId="0" applyNumberFormat="1" applyFont="1" applyFill="1" applyBorder="1" applyAlignment="1">
      <alignment horizontal="right"/>
    </xf>
    <xf numFmtId="0" fontId="1" fillId="7" borderId="49" xfId="0" applyFont="1" applyFill="1" applyBorder="1" applyAlignment="1">
      <alignment/>
    </xf>
    <xf numFmtId="2" fontId="1" fillId="7" borderId="51" xfId="0" applyNumberFormat="1" applyFont="1" applyFill="1" applyBorder="1" applyAlignment="1">
      <alignment/>
    </xf>
    <xf numFmtId="0" fontId="0" fillId="7" borderId="0" xfId="0" applyFont="1" applyFill="1" applyAlignment="1">
      <alignment/>
    </xf>
    <xf numFmtId="1" fontId="1" fillId="27" borderId="50" xfId="0" applyNumberFormat="1" applyFont="1" applyFill="1" applyBorder="1" applyAlignment="1">
      <alignment horizontal="center"/>
    </xf>
    <xf numFmtId="173" fontId="1" fillId="27" borderId="49" xfId="0" applyNumberFormat="1" applyFont="1" applyFill="1" applyBorder="1" applyAlignment="1">
      <alignment horizontal="left"/>
    </xf>
    <xf numFmtId="0" fontId="1" fillId="27" borderId="49" xfId="0" applyNumberFormat="1" applyFont="1" applyFill="1" applyBorder="1" applyAlignment="1">
      <alignment horizontal="center"/>
    </xf>
    <xf numFmtId="0" fontId="1" fillId="27" borderId="49" xfId="0" applyFont="1" applyFill="1" applyBorder="1" applyAlignment="1">
      <alignment horizontal="center"/>
    </xf>
    <xf numFmtId="175" fontId="1" fillId="27" borderId="49" xfId="60" applyNumberFormat="1" applyFont="1" applyFill="1" applyBorder="1" applyAlignment="1">
      <alignment horizontal="center"/>
    </xf>
    <xf numFmtId="4" fontId="0" fillId="27" borderId="49" xfId="0" applyNumberFormat="1" applyFont="1" applyFill="1" applyBorder="1" applyAlignment="1">
      <alignment/>
    </xf>
    <xf numFmtId="4" fontId="1" fillId="27" borderId="49" xfId="60" applyNumberFormat="1" applyFont="1" applyFill="1" applyBorder="1" applyAlignment="1">
      <alignment horizontal="center"/>
    </xf>
    <xf numFmtId="3" fontId="1" fillId="27" borderId="49" xfId="0" applyNumberFormat="1" applyFont="1" applyFill="1" applyBorder="1" applyAlignment="1">
      <alignment horizontal="center"/>
    </xf>
    <xf numFmtId="172" fontId="1" fillId="27" borderId="49" xfId="0" applyNumberFormat="1" applyFont="1" applyFill="1" applyBorder="1" applyAlignment="1">
      <alignment horizontal="center"/>
    </xf>
    <xf numFmtId="0" fontId="1" fillId="27" borderId="49" xfId="0" applyFont="1" applyFill="1" applyBorder="1" applyAlignment="1" quotePrefix="1">
      <alignment horizontal="center"/>
    </xf>
    <xf numFmtId="175" fontId="0" fillId="27" borderId="49" xfId="60" applyNumberFormat="1" applyFont="1" applyFill="1" applyBorder="1" applyAlignment="1">
      <alignment horizontal="center"/>
    </xf>
    <xf numFmtId="2" fontId="1" fillId="27" borderId="49" xfId="0" applyNumberFormat="1" applyFont="1" applyFill="1" applyBorder="1" applyAlignment="1">
      <alignment horizontal="right"/>
    </xf>
    <xf numFmtId="0" fontId="1" fillId="27" borderId="49" xfId="0" applyFont="1" applyFill="1" applyBorder="1" applyAlignment="1">
      <alignment/>
    </xf>
    <xf numFmtId="2" fontId="1" fillId="27" borderId="51" xfId="0" applyNumberFormat="1" applyFont="1" applyFill="1" applyBorder="1" applyAlignment="1">
      <alignment/>
    </xf>
    <xf numFmtId="0" fontId="0" fillId="27" borderId="0" xfId="0" applyFont="1" applyFill="1" applyAlignment="1">
      <alignment/>
    </xf>
    <xf numFmtId="0" fontId="0" fillId="17" borderId="49" xfId="0" applyFont="1" applyFill="1" applyBorder="1" applyAlignment="1">
      <alignment/>
    </xf>
    <xf numFmtId="4" fontId="1" fillId="7" borderId="49" xfId="0" applyNumberFormat="1" applyFont="1" applyFill="1" applyBorder="1" applyAlignment="1">
      <alignment horizontal="center"/>
    </xf>
    <xf numFmtId="172" fontId="0" fillId="7" borderId="49" xfId="0" applyNumberFormat="1" applyFont="1" applyFill="1" applyBorder="1" applyAlignment="1">
      <alignment horizontal="center"/>
    </xf>
    <xf numFmtId="0" fontId="1" fillId="7" borderId="49" xfId="0" applyFont="1" applyFill="1" applyBorder="1" applyAlignment="1">
      <alignment horizontal="right"/>
    </xf>
    <xf numFmtId="175" fontId="1" fillId="7" borderId="49" xfId="60" applyNumberFormat="1" applyFont="1" applyFill="1" applyBorder="1" applyAlignment="1" quotePrefix="1">
      <alignment horizontal="center"/>
    </xf>
    <xf numFmtId="175" fontId="0" fillId="7" borderId="49" xfId="60" applyNumberFormat="1" applyFont="1" applyFill="1" applyBorder="1" applyAlignment="1" quotePrefix="1">
      <alignment horizontal="center"/>
    </xf>
    <xf numFmtId="0" fontId="1" fillId="27" borderId="0" xfId="0" applyFont="1" applyFill="1" applyAlignment="1">
      <alignment vertical="center"/>
    </xf>
    <xf numFmtId="0" fontId="12" fillId="27" borderId="0" xfId="0" applyFont="1" applyFill="1" applyAlignment="1">
      <alignment vertical="center"/>
    </xf>
    <xf numFmtId="0" fontId="1" fillId="27" borderId="0" xfId="0" applyFont="1" applyFill="1" applyAlignment="1">
      <alignment horizontal="center" vertical="center"/>
    </xf>
    <xf numFmtId="4" fontId="1" fillId="27" borderId="0" xfId="0" applyNumberFormat="1" applyFont="1" applyFill="1" applyAlignment="1">
      <alignment horizontal="center" vertical="center"/>
    </xf>
    <xf numFmtId="3" fontId="1" fillId="27" borderId="0" xfId="0" applyNumberFormat="1" applyFont="1" applyFill="1" applyAlignment="1">
      <alignment horizontal="center" vertical="center"/>
    </xf>
    <xf numFmtId="172" fontId="1" fillId="27" borderId="0" xfId="0" applyNumberFormat="1" applyFont="1" applyFill="1" applyAlignment="1">
      <alignment horizontal="center" vertical="center"/>
    </xf>
    <xf numFmtId="0" fontId="1" fillId="27" borderId="0" xfId="0" applyNumberFormat="1" applyFont="1" applyFill="1" applyAlignment="1">
      <alignment horizontal="center" vertical="center"/>
    </xf>
    <xf numFmtId="0" fontId="0" fillId="27" borderId="0" xfId="0" applyFont="1" applyFill="1" applyAlignment="1">
      <alignment vertical="center"/>
    </xf>
    <xf numFmtId="0" fontId="1" fillId="27" borderId="11" xfId="0" applyNumberFormat="1" applyFont="1" applyFill="1" applyBorder="1" applyAlignment="1">
      <alignment horizontal="center" vertical="center"/>
    </xf>
    <xf numFmtId="0" fontId="1" fillId="27" borderId="41" xfId="0" applyFont="1" applyFill="1" applyBorder="1" applyAlignment="1">
      <alignment horizontal="center" vertical="center"/>
    </xf>
    <xf numFmtId="0" fontId="1" fillId="27" borderId="43" xfId="0" applyFont="1" applyFill="1" applyBorder="1" applyAlignment="1">
      <alignment horizontal="center" vertical="center"/>
    </xf>
    <xf numFmtId="0" fontId="1" fillId="27" borderId="45" xfId="0" applyFont="1" applyFill="1" applyBorder="1" applyAlignment="1">
      <alignment horizontal="center" vertical="center"/>
    </xf>
    <xf numFmtId="4" fontId="1" fillId="27" borderId="42" xfId="0" applyNumberFormat="1" applyFont="1" applyFill="1" applyBorder="1" applyAlignment="1">
      <alignment horizontal="center" vertical="center" textRotation="90"/>
    </xf>
    <xf numFmtId="0" fontId="1" fillId="27" borderId="42" xfId="0" applyFont="1" applyFill="1" applyBorder="1" applyAlignment="1">
      <alignment horizontal="center" vertical="center" textRotation="90"/>
    </xf>
    <xf numFmtId="0" fontId="1" fillId="27" borderId="44" xfId="0" applyFont="1" applyFill="1" applyBorder="1" applyAlignment="1">
      <alignment horizontal="center" vertical="center" textRotation="90"/>
    </xf>
    <xf numFmtId="1" fontId="1" fillId="27" borderId="46" xfId="0" applyNumberFormat="1" applyFont="1" applyFill="1" applyBorder="1" applyAlignment="1">
      <alignment horizontal="center"/>
    </xf>
    <xf numFmtId="1" fontId="1" fillId="27" borderId="10" xfId="0" applyNumberFormat="1" applyFont="1" applyFill="1" applyBorder="1" applyAlignment="1">
      <alignment horizontal="center"/>
    </xf>
    <xf numFmtId="173" fontId="1" fillId="27" borderId="47" xfId="0" applyNumberFormat="1" applyFont="1" applyFill="1" applyBorder="1" applyAlignment="1">
      <alignment horizontal="left"/>
    </xf>
    <xf numFmtId="0" fontId="1" fillId="27" borderId="48" xfId="0" applyFont="1" applyFill="1" applyBorder="1" applyAlignment="1">
      <alignment/>
    </xf>
    <xf numFmtId="0" fontId="1" fillId="27" borderId="48" xfId="0" applyNumberFormat="1" applyFont="1" applyFill="1" applyBorder="1" applyAlignment="1">
      <alignment horizontal="center"/>
    </xf>
    <xf numFmtId="171" fontId="1" fillId="27" borderId="48" xfId="60" applyFont="1" applyFill="1" applyBorder="1" applyAlignment="1">
      <alignment horizontal="center"/>
    </xf>
    <xf numFmtId="0" fontId="1" fillId="27" borderId="48" xfId="0" applyFont="1" applyFill="1" applyBorder="1" applyAlignment="1">
      <alignment horizontal="center"/>
    </xf>
    <xf numFmtId="1" fontId="1" fillId="27" borderId="48" xfId="0" applyNumberFormat="1" applyFont="1" applyFill="1" applyBorder="1" applyAlignment="1">
      <alignment horizontal="center"/>
    </xf>
    <xf numFmtId="4" fontId="1" fillId="27" borderId="48" xfId="0" applyNumberFormat="1" applyFont="1" applyFill="1" applyBorder="1" applyAlignment="1">
      <alignment horizontal="center"/>
    </xf>
    <xf numFmtId="3" fontId="1" fillId="27" borderId="48" xfId="0" applyNumberFormat="1" applyFont="1" applyFill="1" applyBorder="1" applyAlignment="1">
      <alignment horizontal="center"/>
    </xf>
    <xf numFmtId="172" fontId="1" fillId="27" borderId="48" xfId="0" applyNumberFormat="1" applyFont="1" applyFill="1" applyBorder="1" applyAlignment="1">
      <alignment horizontal="center"/>
    </xf>
    <xf numFmtId="0" fontId="0" fillId="27" borderId="48" xfId="0" applyFont="1" applyFill="1" applyBorder="1" applyAlignment="1">
      <alignment/>
    </xf>
    <xf numFmtId="0" fontId="0" fillId="27" borderId="55" xfId="0" applyFont="1" applyFill="1" applyBorder="1" applyAlignment="1">
      <alignment/>
    </xf>
    <xf numFmtId="0" fontId="1" fillId="27" borderId="47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0" fontId="0" fillId="27" borderId="40" xfId="0" applyFont="1" applyFill="1" applyBorder="1" applyAlignment="1">
      <alignment/>
    </xf>
    <xf numFmtId="173" fontId="2" fillId="27" borderId="50" xfId="0" applyNumberFormat="1" applyFont="1" applyFill="1" applyBorder="1" applyAlignment="1">
      <alignment horizontal="left"/>
    </xf>
    <xf numFmtId="0" fontId="2" fillId="27" borderId="49" xfId="0" applyFont="1" applyFill="1" applyBorder="1" applyAlignment="1">
      <alignment/>
    </xf>
    <xf numFmtId="0" fontId="2" fillId="27" borderId="49" xfId="0" applyNumberFormat="1" applyFont="1" applyFill="1" applyBorder="1" applyAlignment="1">
      <alignment horizontal="center"/>
    </xf>
    <xf numFmtId="171" fontId="2" fillId="27" borderId="49" xfId="60" applyFont="1" applyFill="1" applyBorder="1" applyAlignment="1">
      <alignment horizontal="center"/>
    </xf>
    <xf numFmtId="0" fontId="2" fillId="27" borderId="49" xfId="0" applyFont="1" applyFill="1" applyBorder="1" applyAlignment="1">
      <alignment horizontal="center"/>
    </xf>
    <xf numFmtId="1" fontId="2" fillId="27" borderId="49" xfId="0" applyNumberFormat="1" applyFont="1" applyFill="1" applyBorder="1" applyAlignment="1">
      <alignment horizontal="center"/>
    </xf>
    <xf numFmtId="172" fontId="2" fillId="27" borderId="49" xfId="0" applyNumberFormat="1" applyFont="1" applyFill="1" applyBorder="1" applyAlignment="1">
      <alignment horizontal="center"/>
    </xf>
    <xf numFmtId="4" fontId="2" fillId="27" borderId="49" xfId="0" applyNumberFormat="1" applyFont="1" applyFill="1" applyBorder="1" applyAlignment="1">
      <alignment horizontal="center"/>
    </xf>
    <xf numFmtId="3" fontId="2" fillId="27" borderId="49" xfId="0" applyNumberFormat="1" applyFont="1" applyFill="1" applyBorder="1" applyAlignment="1">
      <alignment horizontal="center"/>
    </xf>
    <xf numFmtId="175" fontId="2" fillId="27" borderId="49" xfId="60" applyNumberFormat="1" applyFont="1" applyFill="1" applyBorder="1" applyAlignment="1">
      <alignment horizontal="center"/>
    </xf>
    <xf numFmtId="2" fontId="2" fillId="27" borderId="49" xfId="0" applyNumberFormat="1" applyFont="1" applyFill="1" applyBorder="1" applyAlignment="1">
      <alignment/>
    </xf>
    <xf numFmtId="0" fontId="2" fillId="27" borderId="51" xfId="0" applyFont="1" applyFill="1" applyBorder="1" applyAlignment="1">
      <alignment/>
    </xf>
    <xf numFmtId="173" fontId="1" fillId="27" borderId="50" xfId="0" applyNumberFormat="1" applyFont="1" applyFill="1" applyBorder="1" applyAlignment="1">
      <alignment horizontal="left"/>
    </xf>
    <xf numFmtId="171" fontId="1" fillId="27" borderId="49" xfId="60" applyFont="1" applyFill="1" applyBorder="1" applyAlignment="1">
      <alignment horizontal="center"/>
    </xf>
    <xf numFmtId="1" fontId="1" fillId="27" borderId="49" xfId="0" applyNumberFormat="1" applyFont="1" applyFill="1" applyBorder="1" applyAlignment="1">
      <alignment horizontal="center"/>
    </xf>
    <xf numFmtId="4" fontId="1" fillId="27" borderId="49" xfId="0" applyNumberFormat="1" applyFont="1" applyFill="1" applyBorder="1" applyAlignment="1">
      <alignment horizontal="center"/>
    </xf>
    <xf numFmtId="4" fontId="2" fillId="27" borderId="49" xfId="0" applyNumberFormat="1" applyFont="1" applyFill="1" applyBorder="1" applyAlignment="1">
      <alignment/>
    </xf>
    <xf numFmtId="175" fontId="0" fillId="27" borderId="49" xfId="60" applyNumberFormat="1" applyFont="1" applyFill="1" applyBorder="1" applyAlignment="1">
      <alignment/>
    </xf>
    <xf numFmtId="0" fontId="1" fillId="27" borderId="51" xfId="0" applyFont="1" applyFill="1" applyBorder="1" applyAlignment="1">
      <alignment/>
    </xf>
    <xf numFmtId="0" fontId="0" fillId="27" borderId="49" xfId="0" applyFont="1" applyFill="1" applyBorder="1" applyAlignment="1">
      <alignment/>
    </xf>
    <xf numFmtId="3" fontId="0" fillId="27" borderId="49" xfId="0" applyNumberFormat="1" applyFont="1" applyFill="1" applyBorder="1" applyAlignment="1">
      <alignment horizontal="center"/>
    </xf>
    <xf numFmtId="175" fontId="1" fillId="27" borderId="49" xfId="60" applyNumberFormat="1" applyFont="1" applyFill="1" applyBorder="1" applyAlignment="1">
      <alignment horizontal="center"/>
    </xf>
    <xf numFmtId="2" fontId="1" fillId="27" borderId="49" xfId="60" applyNumberFormat="1" applyFont="1" applyFill="1" applyBorder="1" applyAlignment="1">
      <alignment horizontal="right"/>
    </xf>
    <xf numFmtId="4" fontId="0" fillId="27" borderId="49" xfId="0" applyNumberFormat="1" applyFont="1" applyFill="1" applyBorder="1" applyAlignment="1">
      <alignment/>
    </xf>
    <xf numFmtId="175" fontId="1" fillId="27" borderId="49" xfId="60" applyNumberFormat="1" applyFont="1" applyFill="1" applyBorder="1" applyAlignment="1" quotePrefix="1">
      <alignment horizontal="center"/>
    </xf>
    <xf numFmtId="175" fontId="0" fillId="27" borderId="49" xfId="60" applyNumberFormat="1" applyFont="1" applyFill="1" applyBorder="1" applyAlignment="1" quotePrefix="1">
      <alignment horizontal="center"/>
    </xf>
    <xf numFmtId="171" fontId="1" fillId="27" borderId="49" xfId="60" applyNumberFormat="1" applyFont="1" applyFill="1" applyBorder="1" applyAlignment="1">
      <alignment horizontal="center"/>
    </xf>
    <xf numFmtId="172" fontId="0" fillId="27" borderId="49" xfId="0" applyNumberFormat="1" applyFont="1" applyFill="1" applyBorder="1" applyAlignment="1">
      <alignment horizontal="center"/>
    </xf>
    <xf numFmtId="2" fontId="1" fillId="27" borderId="49" xfId="0" applyNumberFormat="1" applyFont="1" applyFill="1" applyBorder="1" applyAlignment="1">
      <alignment/>
    </xf>
    <xf numFmtId="0" fontId="1" fillId="27" borderId="49" xfId="0" applyFont="1" applyFill="1" applyBorder="1" applyAlignment="1">
      <alignment horizontal="right"/>
    </xf>
    <xf numFmtId="1" fontId="1" fillId="27" borderId="52" xfId="0" applyNumberFormat="1" applyFont="1" applyFill="1" applyBorder="1" applyAlignment="1">
      <alignment horizontal="center"/>
    </xf>
    <xf numFmtId="173" fontId="1" fillId="27" borderId="53" xfId="0" applyNumberFormat="1" applyFont="1" applyFill="1" applyBorder="1" applyAlignment="1">
      <alignment horizontal="left"/>
    </xf>
    <xf numFmtId="0" fontId="1" fillId="27" borderId="53" xfId="0" applyNumberFormat="1" applyFont="1" applyFill="1" applyBorder="1" applyAlignment="1">
      <alignment horizontal="center"/>
    </xf>
    <xf numFmtId="0" fontId="1" fillId="27" borderId="53" xfId="0" applyFont="1" applyFill="1" applyBorder="1" applyAlignment="1">
      <alignment horizontal="center"/>
    </xf>
    <xf numFmtId="175" fontId="1" fillId="27" borderId="53" xfId="60" applyNumberFormat="1" applyFont="1" applyFill="1" applyBorder="1" applyAlignment="1">
      <alignment horizontal="center"/>
    </xf>
    <xf numFmtId="4" fontId="0" fillId="27" borderId="53" xfId="0" applyNumberFormat="1" applyFont="1" applyFill="1" applyBorder="1" applyAlignment="1">
      <alignment/>
    </xf>
    <xf numFmtId="4" fontId="1" fillId="27" borderId="53" xfId="0" applyNumberFormat="1" applyFont="1" applyFill="1" applyBorder="1" applyAlignment="1">
      <alignment horizontal="center"/>
    </xf>
    <xf numFmtId="3" fontId="1" fillId="27" borderId="53" xfId="0" applyNumberFormat="1" applyFont="1" applyFill="1" applyBorder="1" applyAlignment="1">
      <alignment horizontal="center"/>
    </xf>
    <xf numFmtId="172" fontId="1" fillId="27" borderId="53" xfId="0" applyNumberFormat="1" applyFont="1" applyFill="1" applyBorder="1" applyAlignment="1">
      <alignment horizontal="center"/>
    </xf>
    <xf numFmtId="0" fontId="1" fillId="27" borderId="53" xfId="0" applyFont="1" applyFill="1" applyBorder="1" applyAlignment="1" quotePrefix="1">
      <alignment horizontal="center"/>
    </xf>
    <xf numFmtId="172" fontId="0" fillId="27" borderId="53" xfId="0" applyNumberFormat="1" applyFont="1" applyFill="1" applyBorder="1" applyAlignment="1">
      <alignment horizontal="center"/>
    </xf>
    <xf numFmtId="175" fontId="0" fillId="27" borderId="53" xfId="60" applyNumberFormat="1" applyFont="1" applyFill="1" applyBorder="1" applyAlignment="1">
      <alignment horizontal="center"/>
    </xf>
    <xf numFmtId="2" fontId="1" fillId="27" borderId="53" xfId="0" applyNumberFormat="1" applyFont="1" applyFill="1" applyBorder="1" applyAlignment="1">
      <alignment horizontal="right"/>
    </xf>
    <xf numFmtId="0" fontId="1" fillId="27" borderId="53" xfId="0" applyFont="1" applyFill="1" applyBorder="1" applyAlignment="1">
      <alignment horizontal="right"/>
    </xf>
    <xf numFmtId="0" fontId="1" fillId="27" borderId="53" xfId="0" applyFont="1" applyFill="1" applyBorder="1" applyAlignment="1">
      <alignment/>
    </xf>
    <xf numFmtId="2" fontId="1" fillId="27" borderId="54" xfId="0" applyNumberFormat="1" applyFont="1" applyFill="1" applyBorder="1" applyAlignment="1">
      <alignment/>
    </xf>
    <xf numFmtId="0" fontId="2" fillId="27" borderId="0" xfId="0" applyFont="1" applyFill="1" applyBorder="1" applyAlignment="1">
      <alignment/>
    </xf>
    <xf numFmtId="0" fontId="2" fillId="27" borderId="0" xfId="0" applyFont="1" applyFill="1" applyBorder="1" applyAlignment="1">
      <alignment horizontal="center"/>
    </xf>
    <xf numFmtId="4" fontId="2" fillId="27" borderId="0" xfId="0" applyNumberFormat="1" applyFont="1" applyFill="1" applyBorder="1" applyAlignment="1">
      <alignment horizontal="center"/>
    </xf>
    <xf numFmtId="3" fontId="2" fillId="27" borderId="0" xfId="0" applyNumberFormat="1" applyFont="1" applyFill="1" applyBorder="1" applyAlignment="1">
      <alignment horizontal="center"/>
    </xf>
    <xf numFmtId="172" fontId="2" fillId="27" borderId="0" xfId="0" applyNumberFormat="1" applyFont="1" applyFill="1" applyBorder="1" applyAlignment="1">
      <alignment horizontal="center"/>
    </xf>
    <xf numFmtId="173" fontId="2" fillId="27" borderId="0" xfId="0" applyNumberFormat="1" applyFont="1" applyFill="1" applyBorder="1" applyAlignment="1">
      <alignment horizontal="center"/>
    </xf>
    <xf numFmtId="0" fontId="2" fillId="27" borderId="0" xfId="0" applyFont="1" applyFill="1" applyAlignment="1">
      <alignment/>
    </xf>
    <xf numFmtId="0" fontId="2" fillId="27" borderId="0" xfId="0" applyFont="1" applyFill="1" applyAlignment="1">
      <alignment horizontal="center"/>
    </xf>
    <xf numFmtId="0" fontId="1" fillId="27" borderId="0" xfId="0" applyFont="1" applyFill="1" applyAlignment="1">
      <alignment/>
    </xf>
    <xf numFmtId="0" fontId="1" fillId="27" borderId="0" xfId="0" applyFont="1" applyFill="1" applyBorder="1" applyAlignment="1">
      <alignment horizontal="center"/>
    </xf>
    <xf numFmtId="4" fontId="1" fillId="27" borderId="0" xfId="0" applyNumberFormat="1" applyFont="1" applyFill="1" applyBorder="1" applyAlignment="1">
      <alignment horizontal="center"/>
    </xf>
    <xf numFmtId="3" fontId="1" fillId="27" borderId="0" xfId="0" applyNumberFormat="1" applyFont="1" applyFill="1" applyBorder="1" applyAlignment="1">
      <alignment horizontal="center"/>
    </xf>
    <xf numFmtId="172" fontId="1" fillId="27" borderId="0" xfId="0" applyNumberFormat="1" applyFont="1" applyFill="1" applyBorder="1" applyAlignment="1">
      <alignment horizontal="center"/>
    </xf>
    <xf numFmtId="4" fontId="0" fillId="27" borderId="0" xfId="60" applyNumberFormat="1" applyFont="1" applyFill="1" applyAlignment="1">
      <alignment/>
    </xf>
    <xf numFmtId="175" fontId="0" fillId="27" borderId="0" xfId="60" applyNumberFormat="1" applyFont="1" applyFill="1" applyBorder="1" applyAlignment="1">
      <alignment horizontal="center"/>
    </xf>
    <xf numFmtId="175" fontId="0" fillId="27" borderId="0" xfId="60" applyNumberFormat="1" applyFont="1" applyFill="1" applyBorder="1" applyAlignment="1">
      <alignment/>
    </xf>
    <xf numFmtId="175" fontId="0" fillId="27" borderId="0" xfId="60" applyNumberFormat="1" applyFont="1" applyFill="1" applyAlignment="1">
      <alignment/>
    </xf>
    <xf numFmtId="175" fontId="0" fillId="27" borderId="0" xfId="60" applyNumberFormat="1" applyFont="1" applyFill="1" applyAlignment="1">
      <alignment horizontal="center"/>
    </xf>
    <xf numFmtId="0" fontId="3" fillId="27" borderId="0" xfId="0" applyFont="1" applyFill="1" applyBorder="1" applyAlignment="1">
      <alignment/>
    </xf>
    <xf numFmtId="0" fontId="3" fillId="27" borderId="0" xfId="0" applyFont="1" applyFill="1" applyAlignment="1">
      <alignment/>
    </xf>
    <xf numFmtId="0" fontId="3" fillId="27" borderId="0" xfId="0" applyFont="1" applyFill="1" applyBorder="1" applyAlignment="1">
      <alignment horizontal="center"/>
    </xf>
    <xf numFmtId="4" fontId="3" fillId="27" borderId="0" xfId="0" applyNumberFormat="1" applyFont="1" applyFill="1" applyBorder="1" applyAlignment="1">
      <alignment horizontal="center"/>
    </xf>
    <xf numFmtId="3" fontId="3" fillId="27" borderId="0" xfId="0" applyNumberFormat="1" applyFont="1" applyFill="1" applyBorder="1" applyAlignment="1">
      <alignment horizontal="center"/>
    </xf>
    <xf numFmtId="172" fontId="2" fillId="27" borderId="0" xfId="0" applyNumberFormat="1" applyFont="1" applyFill="1" applyBorder="1" applyAlignment="1">
      <alignment horizontal="left"/>
    </xf>
    <xf numFmtId="4" fontId="0" fillId="27" borderId="0" xfId="60" applyNumberFormat="1" applyFont="1" applyFill="1" applyBorder="1" applyAlignment="1">
      <alignment horizontal="center"/>
    </xf>
    <xf numFmtId="0" fontId="4" fillId="27" borderId="0" xfId="0" applyFont="1" applyFill="1" applyBorder="1" applyAlignment="1">
      <alignment horizontal="center"/>
    </xf>
    <xf numFmtId="0" fontId="1" fillId="27" borderId="0" xfId="0" applyFont="1" applyFill="1" applyAlignment="1">
      <alignment horizontal="center"/>
    </xf>
    <xf numFmtId="4" fontId="1" fillId="27" borderId="0" xfId="0" applyNumberFormat="1" applyFont="1" applyFill="1" applyAlignment="1">
      <alignment horizontal="center"/>
    </xf>
    <xf numFmtId="3" fontId="4" fillId="27" borderId="0" xfId="0" applyNumberFormat="1" applyFont="1" applyFill="1" applyAlignment="1">
      <alignment/>
    </xf>
    <xf numFmtId="4" fontId="0" fillId="27" borderId="0" xfId="60" applyNumberFormat="1" applyFont="1" applyFill="1" applyAlignment="1">
      <alignment horizontal="center"/>
    </xf>
    <xf numFmtId="0" fontId="5" fillId="27" borderId="0" xfId="0" applyFont="1" applyFill="1" applyBorder="1" applyAlignment="1">
      <alignment horizontal="center"/>
    </xf>
    <xf numFmtId="4" fontId="1" fillId="27" borderId="0" xfId="0" applyNumberFormat="1" applyFont="1" applyFill="1" applyAlignment="1">
      <alignment/>
    </xf>
    <xf numFmtId="3" fontId="1" fillId="27" borderId="0" xfId="0" applyNumberFormat="1" applyFont="1" applyFill="1" applyAlignment="1">
      <alignment/>
    </xf>
    <xf numFmtId="0" fontId="1" fillId="27" borderId="0" xfId="0" applyFont="1" applyFill="1" applyBorder="1" applyAlignment="1">
      <alignment horizontal="left"/>
    </xf>
    <xf numFmtId="4" fontId="2" fillId="27" borderId="0" xfId="0" applyNumberFormat="1" applyFont="1" applyFill="1" applyAlignment="1">
      <alignment horizontal="center"/>
    </xf>
    <xf numFmtId="3" fontId="1" fillId="27" borderId="0" xfId="0" applyNumberFormat="1" applyFont="1" applyFill="1" applyAlignment="1">
      <alignment horizontal="center"/>
    </xf>
    <xf numFmtId="172" fontId="1" fillId="27" borderId="0" xfId="0" applyNumberFormat="1" applyFont="1" applyFill="1" applyBorder="1" applyAlignment="1">
      <alignment horizontal="left"/>
    </xf>
    <xf numFmtId="0" fontId="1" fillId="27" borderId="0" xfId="0" applyFont="1" applyFill="1" applyAlignment="1">
      <alignment horizontal="center"/>
    </xf>
    <xf numFmtId="4" fontId="1" fillId="27" borderId="0" xfId="0" applyNumberFormat="1" applyFont="1" applyFill="1" applyBorder="1" applyAlignment="1">
      <alignment horizontal="center"/>
    </xf>
    <xf numFmtId="3" fontId="1" fillId="27" borderId="0" xfId="0" applyNumberFormat="1" applyFont="1" applyFill="1" applyBorder="1" applyAlignment="1">
      <alignment horizontal="center"/>
    </xf>
    <xf numFmtId="172" fontId="1" fillId="27" borderId="0" xfId="0" applyNumberFormat="1" applyFont="1" applyFill="1" applyBorder="1" applyAlignment="1">
      <alignment horizontal="center"/>
    </xf>
    <xf numFmtId="0" fontId="4" fillId="27" borderId="0" xfId="0" applyFont="1" applyFill="1" applyAlignment="1">
      <alignment/>
    </xf>
    <xf numFmtId="0" fontId="6" fillId="27" borderId="0" xfId="0" applyFont="1" applyFill="1" applyAlignment="1">
      <alignment/>
    </xf>
    <xf numFmtId="4" fontId="10" fillId="27" borderId="0" xfId="60" applyNumberFormat="1" applyFont="1" applyFill="1" applyAlignment="1">
      <alignment/>
    </xf>
    <xf numFmtId="175" fontId="10" fillId="27" borderId="0" xfId="60" applyNumberFormat="1" applyFont="1" applyFill="1" applyBorder="1" applyAlignment="1">
      <alignment horizontal="center"/>
    </xf>
    <xf numFmtId="175" fontId="10" fillId="27" borderId="0" xfId="60" applyNumberFormat="1" applyFont="1" applyFill="1" applyBorder="1" applyAlignment="1">
      <alignment/>
    </xf>
    <xf numFmtId="175" fontId="10" fillId="27" borderId="0" xfId="60" applyNumberFormat="1" applyFont="1" applyFill="1" applyAlignment="1">
      <alignment/>
    </xf>
    <xf numFmtId="175" fontId="10" fillId="27" borderId="0" xfId="60" applyNumberFormat="1" applyFont="1" applyFill="1" applyAlignment="1">
      <alignment horizontal="center"/>
    </xf>
    <xf numFmtId="4" fontId="9" fillId="27" borderId="0" xfId="60" applyNumberFormat="1" applyFont="1" applyFill="1" applyBorder="1" applyAlignment="1">
      <alignment horizontal="center"/>
    </xf>
    <xf numFmtId="175" fontId="9" fillId="27" borderId="0" xfId="60" applyNumberFormat="1" applyFont="1" applyFill="1" applyBorder="1" applyAlignment="1">
      <alignment horizontal="center"/>
    </xf>
    <xf numFmtId="4" fontId="1" fillId="27" borderId="0" xfId="60" applyNumberFormat="1" applyFont="1" applyFill="1" applyBorder="1" applyAlignment="1">
      <alignment horizontal="center"/>
    </xf>
    <xf numFmtId="175" fontId="1" fillId="27" borderId="0" xfId="60" applyNumberFormat="1" applyFont="1" applyFill="1" applyBorder="1" applyAlignment="1">
      <alignment horizontal="center"/>
    </xf>
    <xf numFmtId="0" fontId="1" fillId="27" borderId="0" xfId="0" applyNumberFormat="1" applyFont="1" applyFill="1" applyBorder="1" applyAlignment="1">
      <alignment horizontal="center"/>
    </xf>
    <xf numFmtId="173" fontId="1" fillId="27" borderId="0" xfId="0" applyNumberFormat="1" applyFont="1" applyFill="1" applyBorder="1" applyAlignment="1">
      <alignment horizontal="center"/>
    </xf>
    <xf numFmtId="0" fontId="4" fillId="27" borderId="0" xfId="0" applyFont="1" applyFill="1" applyBorder="1" applyAlignment="1">
      <alignment/>
    </xf>
    <xf numFmtId="0" fontId="4" fillId="27" borderId="0" xfId="0" applyFont="1" applyFill="1" applyBorder="1" applyAlignment="1">
      <alignment horizontal="left"/>
    </xf>
    <xf numFmtId="4" fontId="4" fillId="27" borderId="0" xfId="0" applyNumberFormat="1" applyFont="1" applyFill="1" applyBorder="1" applyAlignment="1">
      <alignment horizontal="center"/>
    </xf>
    <xf numFmtId="3" fontId="4" fillId="27" borderId="0" xfId="0" applyNumberFormat="1" applyFont="1" applyFill="1" applyBorder="1" applyAlignment="1">
      <alignment horizontal="center"/>
    </xf>
    <xf numFmtId="172" fontId="4" fillId="27" borderId="0" xfId="0" applyNumberFormat="1" applyFont="1" applyFill="1" applyBorder="1" applyAlignment="1">
      <alignment horizontal="center"/>
    </xf>
    <xf numFmtId="173" fontId="4" fillId="27" borderId="0" xfId="0" applyNumberFormat="1" applyFont="1" applyFill="1" applyBorder="1" applyAlignment="1">
      <alignment horizontal="center"/>
    </xf>
    <xf numFmtId="0" fontId="4" fillId="27" borderId="0" xfId="0" applyFont="1" applyFill="1" applyAlignment="1">
      <alignment horizontal="center"/>
    </xf>
    <xf numFmtId="0" fontId="3" fillId="27" borderId="0" xfId="0" applyNumberFormat="1" applyFont="1" applyFill="1" applyBorder="1" applyAlignment="1">
      <alignment horizontal="center"/>
    </xf>
    <xf numFmtId="182" fontId="3" fillId="27" borderId="0" xfId="0" applyNumberFormat="1" applyFont="1" applyFill="1" applyBorder="1" applyAlignment="1">
      <alignment horizontal="center"/>
    </xf>
    <xf numFmtId="0" fontId="0" fillId="27" borderId="0" xfId="0" applyFont="1" applyFill="1" applyAlignment="1">
      <alignment horizontal="center"/>
    </xf>
    <xf numFmtId="0" fontId="1" fillId="27" borderId="0" xfId="0" applyNumberFormat="1" applyFont="1" applyFill="1" applyAlignment="1">
      <alignment horizontal="center"/>
    </xf>
    <xf numFmtId="179" fontId="0" fillId="27" borderId="0" xfId="0" applyNumberFormat="1" applyFont="1" applyFill="1" applyAlignment="1">
      <alignment/>
    </xf>
    <xf numFmtId="0" fontId="4" fillId="27" borderId="0" xfId="0" applyNumberFormat="1" applyFont="1" applyFill="1" applyAlignment="1">
      <alignment horizontal="center"/>
    </xf>
    <xf numFmtId="0" fontId="2" fillId="27" borderId="0" xfId="0" applyNumberFormat="1" applyFont="1" applyFill="1" applyAlignment="1">
      <alignment horizontal="center"/>
    </xf>
    <xf numFmtId="0" fontId="1" fillId="27" borderId="0" xfId="0" applyNumberFormat="1" applyFont="1" applyFill="1" applyBorder="1" applyAlignment="1">
      <alignment horizontal="left"/>
    </xf>
    <xf numFmtId="4" fontId="3" fillId="27" borderId="0" xfId="0" applyNumberFormat="1" applyFont="1" applyFill="1" applyAlignment="1">
      <alignment/>
    </xf>
    <xf numFmtId="173" fontId="3" fillId="27" borderId="0" xfId="0" applyNumberFormat="1" applyFont="1" applyFill="1" applyBorder="1" applyAlignment="1">
      <alignment horizontal="center"/>
    </xf>
    <xf numFmtId="0" fontId="2" fillId="27" borderId="0" xfId="0" applyFont="1" applyFill="1" applyAlignment="1">
      <alignment horizontal="center"/>
    </xf>
    <xf numFmtId="4" fontId="6" fillId="27" borderId="0" xfId="0" applyNumberFormat="1" applyFont="1" applyFill="1" applyAlignment="1">
      <alignment/>
    </xf>
    <xf numFmtId="0" fontId="6" fillId="27" borderId="0" xfId="0" applyNumberFormat="1" applyFont="1" applyFill="1" applyBorder="1" applyAlignment="1">
      <alignment horizontal="center"/>
    </xf>
    <xf numFmtId="173" fontId="6" fillId="27" borderId="0" xfId="0" applyNumberFormat="1" applyFont="1" applyFill="1" applyBorder="1" applyAlignment="1">
      <alignment horizontal="center"/>
    </xf>
    <xf numFmtId="0" fontId="6" fillId="27" borderId="0" xfId="0" applyFont="1" applyFill="1" applyBorder="1" applyAlignment="1">
      <alignment horizontal="center"/>
    </xf>
    <xf numFmtId="0" fontId="3" fillId="27" borderId="0" xfId="0" applyFont="1" applyFill="1" applyBorder="1" applyAlignment="1">
      <alignment horizontal="left"/>
    </xf>
    <xf numFmtId="172" fontId="3" fillId="27" borderId="0" xfId="0" applyNumberFormat="1" applyFont="1" applyFill="1" applyBorder="1" applyAlignment="1">
      <alignment horizontal="center"/>
    </xf>
    <xf numFmtId="4" fontId="0" fillId="27" borderId="0" xfId="0" applyNumberFormat="1" applyFont="1" applyFill="1" applyAlignment="1">
      <alignment/>
    </xf>
    <xf numFmtId="1" fontId="1" fillId="0" borderId="60" xfId="0" applyNumberFormat="1" applyFont="1" applyFill="1" applyBorder="1" applyAlignment="1">
      <alignment horizontal="center"/>
    </xf>
    <xf numFmtId="0" fontId="1" fillId="0" borderId="60" xfId="0" applyNumberFormat="1" applyFont="1" applyFill="1" applyBorder="1" applyAlignment="1">
      <alignment horizontal="center"/>
    </xf>
    <xf numFmtId="0" fontId="1" fillId="0" borderId="60" xfId="0" applyFont="1" applyFill="1" applyBorder="1" applyAlignment="1">
      <alignment/>
    </xf>
    <xf numFmtId="1" fontId="1" fillId="0" borderId="61" xfId="0" applyNumberFormat="1" applyFont="1" applyFill="1" applyBorder="1" applyAlignment="1">
      <alignment horizontal="center"/>
    </xf>
    <xf numFmtId="0" fontId="1" fillId="0" borderId="61" xfId="0" applyFont="1" applyFill="1" applyBorder="1" applyAlignment="1">
      <alignment/>
    </xf>
    <xf numFmtId="0" fontId="1" fillId="0" borderId="61" xfId="0" applyNumberFormat="1" applyFont="1" applyFill="1" applyBorder="1" applyAlignment="1">
      <alignment horizontal="center"/>
    </xf>
    <xf numFmtId="173" fontId="1" fillId="0" borderId="60" xfId="0" applyNumberFormat="1" applyFont="1" applyFill="1" applyBorder="1" applyAlignment="1">
      <alignment vertical="center"/>
    </xf>
    <xf numFmtId="1" fontId="1" fillId="0" borderId="60" xfId="0" applyNumberFormat="1" applyFont="1" applyFill="1" applyBorder="1" applyAlignment="1">
      <alignment horizontal="center" vertical="center"/>
    </xf>
    <xf numFmtId="0" fontId="1" fillId="0" borderId="60" xfId="0" applyNumberFormat="1" applyFont="1" applyFill="1" applyBorder="1" applyAlignment="1">
      <alignment horizontal="center" vertical="center"/>
    </xf>
    <xf numFmtId="173" fontId="1" fillId="0" borderId="61" xfId="0" applyNumberFormat="1" applyFont="1" applyFill="1" applyBorder="1" applyAlignment="1">
      <alignment horizontal="left"/>
    </xf>
    <xf numFmtId="1" fontId="1" fillId="0" borderId="62" xfId="0" applyNumberFormat="1" applyFont="1" applyFill="1" applyBorder="1" applyAlignment="1">
      <alignment horizontal="center"/>
    </xf>
    <xf numFmtId="0" fontId="1" fillId="0" borderId="62" xfId="0" applyFont="1" applyFill="1" applyBorder="1" applyAlignment="1">
      <alignment/>
    </xf>
    <xf numFmtId="0" fontId="1" fillId="0" borderId="62" xfId="0" applyNumberFormat="1" applyFont="1" applyFill="1" applyBorder="1" applyAlignment="1">
      <alignment horizontal="center"/>
    </xf>
    <xf numFmtId="173" fontId="1" fillId="0" borderId="62" xfId="0" applyNumberFormat="1" applyFont="1" applyFill="1" applyBorder="1" applyAlignment="1">
      <alignment horizontal="left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3" xfId="0" applyBorder="1" applyAlignment="1">
      <alignment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65" xfId="0" applyFont="1" applyBorder="1" applyAlignment="1">
      <alignment horizontal="center" vertical="center" textRotation="90" wrapText="1"/>
    </xf>
    <xf numFmtId="0" fontId="1" fillId="0" borderId="66" xfId="0" applyFont="1" applyBorder="1" applyAlignment="1">
      <alignment horizontal="center" vertical="center" textRotation="90"/>
    </xf>
    <xf numFmtId="0" fontId="1" fillId="0" borderId="66" xfId="0" applyFont="1" applyBorder="1" applyAlignment="1">
      <alignment horizontal="center" vertical="center" textRotation="90" wrapText="1"/>
    </xf>
    <xf numFmtId="0" fontId="1" fillId="0" borderId="65" xfId="0" applyNumberFormat="1" applyFont="1" applyFill="1" applyBorder="1" applyAlignment="1">
      <alignment horizontal="center" vertical="center" textRotation="90" wrapText="1"/>
    </xf>
    <xf numFmtId="173" fontId="1" fillId="0" borderId="64" xfId="0" applyNumberFormat="1" applyFont="1" applyBorder="1" applyAlignment="1">
      <alignment horizontal="center" vertical="center" wrapText="1"/>
    </xf>
    <xf numFmtId="173" fontId="1" fillId="0" borderId="65" xfId="0" applyNumberFormat="1" applyFont="1" applyBorder="1" applyAlignment="1">
      <alignment horizontal="center" vertical="center" wrapText="1"/>
    </xf>
    <xf numFmtId="0" fontId="1" fillId="0" borderId="66" xfId="0" applyNumberFormat="1" applyFont="1" applyFill="1" applyBorder="1" applyAlignment="1">
      <alignment horizontal="center" vertical="center" textRotation="90" wrapText="1"/>
    </xf>
    <xf numFmtId="0" fontId="1" fillId="0" borderId="64" xfId="0" applyNumberFormat="1" applyFont="1" applyFill="1" applyBorder="1" applyAlignment="1">
      <alignment horizontal="center" vertical="center" textRotation="90" wrapText="1"/>
    </xf>
    <xf numFmtId="0" fontId="1" fillId="0" borderId="67" xfId="0" applyNumberFormat="1" applyFont="1" applyBorder="1" applyAlignment="1">
      <alignment horizontal="center" vertical="center" wrapText="1"/>
    </xf>
    <xf numFmtId="173" fontId="1" fillId="0" borderId="66" xfId="0" applyNumberFormat="1" applyFont="1" applyBorder="1" applyAlignment="1">
      <alignment horizontal="center" vertical="center" wrapText="1"/>
    </xf>
    <xf numFmtId="0" fontId="1" fillId="0" borderId="68" xfId="0" applyNumberFormat="1" applyFont="1" applyBorder="1" applyAlignment="1">
      <alignment horizontal="center" vertical="center" wrapText="1"/>
    </xf>
    <xf numFmtId="0" fontId="1" fillId="0" borderId="69" xfId="0" applyNumberFormat="1" applyFont="1" applyBorder="1" applyAlignment="1">
      <alignment horizontal="center" vertical="center" wrapText="1"/>
    </xf>
    <xf numFmtId="172" fontId="1" fillId="0" borderId="70" xfId="0" applyNumberFormat="1" applyFont="1" applyBorder="1" applyAlignment="1">
      <alignment horizontal="center" vertical="center" wrapText="1"/>
    </xf>
    <xf numFmtId="172" fontId="1" fillId="0" borderId="44" xfId="0" applyNumberFormat="1" applyFont="1" applyBorder="1" applyAlignment="1">
      <alignment horizontal="center" vertical="center" wrapText="1"/>
    </xf>
    <xf numFmtId="3" fontId="1" fillId="0" borderId="71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172" fontId="1" fillId="0" borderId="73" xfId="0" applyNumberFormat="1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textRotation="90"/>
    </xf>
    <xf numFmtId="4" fontId="1" fillId="0" borderId="70" xfId="0" applyNumberFormat="1" applyFont="1" applyFill="1" applyBorder="1" applyAlignment="1">
      <alignment horizontal="center" vertical="center" wrapText="1"/>
    </xf>
    <xf numFmtId="4" fontId="1" fillId="0" borderId="74" xfId="0" applyNumberFormat="1" applyFont="1" applyFill="1" applyBorder="1" applyAlignment="1">
      <alignment horizontal="center" vertical="center" wrapText="1"/>
    </xf>
    <xf numFmtId="175" fontId="1" fillId="0" borderId="49" xfId="60" applyNumberFormat="1" applyFont="1" applyFill="1" applyBorder="1" applyAlignment="1">
      <alignment horizontal="center" vertical="center"/>
    </xf>
    <xf numFmtId="0" fontId="1" fillId="0" borderId="49" xfId="0" applyNumberFormat="1" applyFont="1" applyFill="1" applyBorder="1" applyAlignment="1">
      <alignment horizontal="center" vertical="center"/>
    </xf>
    <xf numFmtId="173" fontId="1" fillId="0" borderId="49" xfId="0" applyNumberFormat="1" applyFont="1" applyFill="1" applyBorder="1" applyAlignment="1">
      <alignment horizontal="center" vertical="center"/>
    </xf>
    <xf numFmtId="1" fontId="1" fillId="0" borderId="50" xfId="0" applyNumberFormat="1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49" xfId="0" applyFont="1" applyFill="1" applyBorder="1" applyAlignment="1" quotePrefix="1">
      <alignment horizontal="center" vertical="center"/>
    </xf>
    <xf numFmtId="172" fontId="1" fillId="0" borderId="49" xfId="0" applyNumberFormat="1" applyFont="1" applyFill="1" applyBorder="1" applyAlignment="1">
      <alignment horizontal="center" vertical="center"/>
    </xf>
    <xf numFmtId="2" fontId="1" fillId="0" borderId="51" xfId="0" applyNumberFormat="1" applyFont="1" applyFill="1" applyBorder="1" applyAlignment="1">
      <alignment horizontal="center" vertical="center"/>
    </xf>
    <xf numFmtId="0" fontId="1" fillId="0" borderId="49" xfId="0" applyFont="1" applyBorder="1" applyAlignment="1">
      <alignment horizontal="right" vertical="center"/>
    </xf>
    <xf numFmtId="2" fontId="1" fillId="0" borderId="49" xfId="0" applyNumberFormat="1" applyFont="1" applyFill="1" applyBorder="1" applyAlignment="1">
      <alignment horizontal="right" vertical="center"/>
    </xf>
    <xf numFmtId="175" fontId="0" fillId="0" borderId="49" xfId="60" applyNumberFormat="1" applyFont="1" applyFill="1" applyBorder="1" applyAlignment="1">
      <alignment horizontal="center" vertical="center"/>
    </xf>
    <xf numFmtId="172" fontId="0" fillId="0" borderId="49" xfId="0" applyNumberFormat="1" applyFont="1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4" fontId="1" fillId="0" borderId="46" xfId="0" applyNumberFormat="1" applyFont="1" applyBorder="1" applyAlignment="1">
      <alignment horizontal="center" vertical="center"/>
    </xf>
    <xf numFmtId="4" fontId="1" fillId="0" borderId="75" xfId="0" applyNumberFormat="1" applyFont="1" applyBorder="1" applyAlignment="1">
      <alignment horizontal="center" vertical="center"/>
    </xf>
    <xf numFmtId="172" fontId="1" fillId="0" borderId="46" xfId="0" applyNumberFormat="1" applyFont="1" applyBorder="1" applyAlignment="1">
      <alignment horizontal="center" vertical="center"/>
    </xf>
    <xf numFmtId="172" fontId="1" fillId="0" borderId="75" xfId="0" applyNumberFormat="1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 textRotation="90"/>
    </xf>
    <xf numFmtId="0" fontId="1" fillId="0" borderId="64" xfId="0" applyFont="1" applyBorder="1" applyAlignment="1">
      <alignment horizontal="center" vertical="center" textRotation="90"/>
    </xf>
    <xf numFmtId="0" fontId="1" fillId="0" borderId="65" xfId="0" applyFont="1" applyBorder="1" applyAlignment="1">
      <alignment horizontal="center" vertical="center" textRotation="90"/>
    </xf>
    <xf numFmtId="0" fontId="1" fillId="0" borderId="68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1" fillId="0" borderId="81" xfId="0" applyNumberFormat="1" applyFont="1" applyBorder="1" applyAlignment="1">
      <alignment horizontal="center" vertical="center"/>
    </xf>
    <xf numFmtId="0" fontId="1" fillId="0" borderId="82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83" xfId="0" applyNumberFormat="1" applyFont="1" applyBorder="1" applyAlignment="1">
      <alignment horizontal="center" vertical="center" wrapText="1"/>
    </xf>
    <xf numFmtId="0" fontId="1" fillId="0" borderId="84" xfId="0" applyNumberFormat="1" applyFont="1" applyBorder="1" applyAlignment="1">
      <alignment horizontal="center" vertical="center" wrapText="1"/>
    </xf>
    <xf numFmtId="0" fontId="1" fillId="0" borderId="85" xfId="0" applyNumberFormat="1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textRotation="90"/>
    </xf>
    <xf numFmtId="0" fontId="1" fillId="0" borderId="87" xfId="0" applyFont="1" applyBorder="1" applyAlignment="1">
      <alignment horizontal="center" vertical="center" textRotation="90"/>
    </xf>
    <xf numFmtId="0" fontId="1" fillId="0" borderId="41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 textRotation="90"/>
    </xf>
    <xf numFmtId="0" fontId="1" fillId="0" borderId="91" xfId="0" applyFont="1" applyBorder="1" applyAlignment="1">
      <alignment horizontal="center" vertical="center" textRotation="90"/>
    </xf>
    <xf numFmtId="0" fontId="1" fillId="0" borderId="92" xfId="0" applyFont="1" applyBorder="1" applyAlignment="1">
      <alignment horizontal="center" vertical="center" textRotation="90"/>
    </xf>
    <xf numFmtId="0" fontId="1" fillId="0" borderId="93" xfId="0" applyFont="1" applyBorder="1" applyAlignment="1">
      <alignment horizontal="center" vertical="center" textRotation="90"/>
    </xf>
    <xf numFmtId="0" fontId="1" fillId="0" borderId="61" xfId="0" applyFont="1" applyBorder="1" applyAlignment="1">
      <alignment horizontal="center" vertical="center" textRotation="90" wrapText="1"/>
    </xf>
    <xf numFmtId="0" fontId="1" fillId="0" borderId="94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 textRotation="90" wrapText="1"/>
    </xf>
    <xf numFmtId="0" fontId="1" fillId="0" borderId="95" xfId="0" applyFont="1" applyBorder="1" applyAlignment="1">
      <alignment horizontal="center" vertical="center" textRotation="90"/>
    </xf>
    <xf numFmtId="0" fontId="1" fillId="0" borderId="94" xfId="0" applyFont="1" applyBorder="1" applyAlignment="1">
      <alignment horizontal="center" vertical="center" textRotation="90"/>
    </xf>
    <xf numFmtId="0" fontId="1" fillId="0" borderId="42" xfId="0" applyFont="1" applyBorder="1" applyAlignment="1">
      <alignment horizontal="center" vertical="center" textRotation="90"/>
    </xf>
    <xf numFmtId="0" fontId="1" fillId="0" borderId="58" xfId="0" applyFont="1" applyBorder="1" applyAlignment="1">
      <alignment horizontal="center" vertical="center" textRotation="90"/>
    </xf>
    <xf numFmtId="0" fontId="1" fillId="0" borderId="96" xfId="0" applyFont="1" applyBorder="1" applyAlignment="1">
      <alignment horizontal="center" vertical="center" textRotation="90"/>
    </xf>
    <xf numFmtId="0" fontId="1" fillId="0" borderId="70" xfId="0" applyFont="1" applyBorder="1" applyAlignment="1">
      <alignment horizontal="center" vertical="center" textRotation="90" wrapText="1"/>
    </xf>
    <xf numFmtId="0" fontId="1" fillId="0" borderId="74" xfId="0" applyFont="1" applyBorder="1" applyAlignment="1">
      <alignment horizontal="center" vertical="center" textRotation="90" wrapText="1"/>
    </xf>
    <xf numFmtId="0" fontId="1" fillId="0" borderId="97" xfId="0" applyNumberFormat="1" applyFont="1" applyFill="1" applyBorder="1" applyAlignment="1">
      <alignment horizontal="center" vertical="center"/>
    </xf>
    <xf numFmtId="0" fontId="1" fillId="0" borderId="71" xfId="0" applyNumberFormat="1" applyFont="1" applyFill="1" applyBorder="1" applyAlignment="1">
      <alignment horizontal="center" vertical="center"/>
    </xf>
    <xf numFmtId="0" fontId="1" fillId="0" borderId="72" xfId="0" applyNumberFormat="1" applyFont="1" applyFill="1" applyBorder="1" applyAlignment="1">
      <alignment horizontal="center" vertical="center"/>
    </xf>
    <xf numFmtId="0" fontId="1" fillId="0" borderId="61" xfId="0" applyFont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right"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90" xfId="0" applyFont="1" applyBorder="1" applyAlignment="1">
      <alignment horizontal="center" vertical="center" textRotation="90" wrapText="1"/>
    </xf>
    <xf numFmtId="0" fontId="1" fillId="0" borderId="91" xfId="0" applyFont="1" applyBorder="1" applyAlignment="1">
      <alignment horizontal="center" vertical="center" textRotation="90" wrapText="1"/>
    </xf>
    <xf numFmtId="0" fontId="1" fillId="0" borderId="92" xfId="0" applyFont="1" applyBorder="1" applyAlignment="1">
      <alignment horizontal="center" vertical="center" textRotation="90" wrapText="1"/>
    </xf>
    <xf numFmtId="0" fontId="1" fillId="0" borderId="93" xfId="0" applyFont="1" applyBorder="1" applyAlignment="1">
      <alignment horizontal="center" vertical="center" textRotation="90" wrapText="1"/>
    </xf>
    <xf numFmtId="0" fontId="1" fillId="0" borderId="81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98" xfId="0" applyNumberFormat="1" applyFont="1" applyFill="1" applyBorder="1" applyAlignment="1">
      <alignment horizontal="center" vertical="center" wrapText="1"/>
    </xf>
    <xf numFmtId="0" fontId="1" fillId="0" borderId="56" xfId="0" applyNumberFormat="1" applyFont="1" applyFill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center" vertical="center"/>
    </xf>
    <xf numFmtId="0" fontId="1" fillId="0" borderId="99" xfId="0" applyFont="1" applyBorder="1" applyAlignment="1">
      <alignment horizontal="center" vertical="center" textRotation="90" wrapText="1"/>
    </xf>
    <xf numFmtId="0" fontId="1" fillId="0" borderId="71" xfId="0" applyFont="1" applyBorder="1" applyAlignment="1">
      <alignment horizontal="center" vertical="center" textRotation="90" wrapText="1"/>
    </xf>
    <xf numFmtId="0" fontId="1" fillId="0" borderId="87" xfId="0" applyFont="1" applyBorder="1" applyAlignment="1">
      <alignment horizontal="center" vertical="center" textRotation="90" wrapText="1"/>
    </xf>
    <xf numFmtId="0" fontId="1" fillId="0" borderId="89" xfId="0" applyNumberFormat="1" applyFont="1" applyBorder="1" applyAlignment="1">
      <alignment horizontal="center" vertical="center"/>
    </xf>
    <xf numFmtId="0" fontId="1" fillId="0" borderId="75" xfId="0" applyNumberFormat="1" applyFont="1" applyBorder="1" applyAlignment="1">
      <alignment horizontal="center" vertical="center"/>
    </xf>
    <xf numFmtId="4" fontId="1" fillId="0" borderId="86" xfId="0" applyNumberFormat="1" applyFont="1" applyBorder="1" applyAlignment="1">
      <alignment horizontal="center" vertical="center" textRotation="90"/>
    </xf>
    <xf numFmtId="4" fontId="1" fillId="0" borderId="87" xfId="0" applyNumberFormat="1" applyFont="1" applyBorder="1" applyAlignment="1">
      <alignment horizontal="center" vertical="center" textRotation="90"/>
    </xf>
    <xf numFmtId="0" fontId="1" fillId="0" borderId="100" xfId="0" applyFont="1" applyBorder="1" applyAlignment="1">
      <alignment horizontal="center" vertical="center" wrapText="1"/>
    </xf>
    <xf numFmtId="0" fontId="1" fillId="0" borderId="101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 textRotation="90"/>
    </xf>
    <xf numFmtId="0" fontId="1" fillId="0" borderId="46" xfId="0" applyNumberFormat="1" applyFont="1" applyBorder="1" applyAlignment="1">
      <alignment horizontal="center" vertical="center"/>
    </xf>
    <xf numFmtId="0" fontId="1" fillId="0" borderId="102" xfId="0" applyNumberFormat="1" applyFont="1" applyBorder="1" applyAlignment="1">
      <alignment horizontal="center" vertical="center"/>
    </xf>
    <xf numFmtId="0" fontId="1" fillId="0" borderId="70" xfId="0" applyNumberFormat="1" applyFont="1" applyBorder="1" applyAlignment="1">
      <alignment horizontal="center" vertical="center" wrapText="1"/>
    </xf>
    <xf numFmtId="0" fontId="1" fillId="0" borderId="74" xfId="0" applyNumberFormat="1" applyFont="1" applyBorder="1" applyAlignment="1">
      <alignment horizontal="center" vertical="center" wrapText="1"/>
    </xf>
    <xf numFmtId="172" fontId="1" fillId="0" borderId="83" xfId="0" applyNumberFormat="1" applyFont="1" applyBorder="1" applyAlignment="1">
      <alignment horizontal="center" vertical="center" wrapText="1"/>
    </xf>
    <xf numFmtId="172" fontId="1" fillId="0" borderId="84" xfId="0" applyNumberFormat="1" applyFont="1" applyBorder="1" applyAlignment="1">
      <alignment horizontal="center" vertical="center" wrapText="1"/>
    </xf>
    <xf numFmtId="172" fontId="1" fillId="0" borderId="103" xfId="0" applyNumberFormat="1" applyFont="1" applyBorder="1" applyAlignment="1">
      <alignment horizontal="center" vertical="center" wrapText="1"/>
    </xf>
    <xf numFmtId="0" fontId="1" fillId="0" borderId="58" xfId="0" applyNumberFormat="1" applyFont="1" applyBorder="1" applyAlignment="1">
      <alignment horizontal="center" vertical="center" textRotation="90"/>
    </xf>
    <xf numFmtId="0" fontId="1" fillId="0" borderId="96" xfId="0" applyNumberFormat="1" applyFont="1" applyBorder="1" applyAlignment="1">
      <alignment horizontal="center" vertical="center" textRotation="90"/>
    </xf>
    <xf numFmtId="4" fontId="1" fillId="0" borderId="60" xfId="0" applyNumberFormat="1" applyFont="1" applyBorder="1" applyAlignment="1">
      <alignment horizontal="center" vertical="center" textRotation="90"/>
    </xf>
    <xf numFmtId="4" fontId="1" fillId="0" borderId="104" xfId="0" applyNumberFormat="1" applyFont="1" applyBorder="1" applyAlignment="1">
      <alignment horizontal="center" vertical="center" textRotation="90"/>
    </xf>
    <xf numFmtId="0" fontId="0" fillId="0" borderId="85" xfId="0" applyFont="1" applyBorder="1" applyAlignment="1">
      <alignment horizontal="center" vertical="center" textRotation="90"/>
    </xf>
    <xf numFmtId="0" fontId="0" fillId="0" borderId="37" xfId="0" applyFont="1" applyBorder="1" applyAlignment="1">
      <alignment horizontal="center" vertical="center" textRotation="90"/>
    </xf>
    <xf numFmtId="0" fontId="0" fillId="0" borderId="105" xfId="0" applyFont="1" applyBorder="1" applyAlignment="1">
      <alignment horizontal="center" vertical="center" textRotation="90" wrapText="1"/>
    </xf>
    <xf numFmtId="0" fontId="0" fillId="0" borderId="72" xfId="0" applyFont="1" applyBorder="1" applyAlignment="1">
      <alignment horizontal="center" vertical="center" textRotation="90" wrapText="1"/>
    </xf>
    <xf numFmtId="0" fontId="1" fillId="0" borderId="106" xfId="0" applyFont="1" applyBorder="1" applyAlignment="1">
      <alignment horizontal="center" vertical="center" textRotation="90"/>
    </xf>
    <xf numFmtId="0" fontId="1" fillId="0" borderId="104" xfId="0" applyFont="1" applyBorder="1" applyAlignment="1">
      <alignment horizontal="center" vertical="center" textRotation="90"/>
    </xf>
    <xf numFmtId="0" fontId="1" fillId="0" borderId="106" xfId="0" applyFont="1" applyBorder="1" applyAlignment="1">
      <alignment horizontal="center" vertical="center" textRotation="90" wrapText="1"/>
    </xf>
    <xf numFmtId="0" fontId="1" fillId="0" borderId="104" xfId="0" applyFont="1" applyBorder="1" applyAlignment="1">
      <alignment horizontal="center" vertical="center" textRotation="90" wrapText="1"/>
    </xf>
    <xf numFmtId="0" fontId="1" fillId="0" borderId="105" xfId="0" applyFont="1" applyBorder="1" applyAlignment="1">
      <alignment horizontal="center" vertical="center" textRotation="90" wrapText="1"/>
    </xf>
    <xf numFmtId="0" fontId="1" fillId="0" borderId="72" xfId="0" applyFont="1" applyBorder="1" applyAlignment="1">
      <alignment horizontal="center" vertical="center" textRotation="90" wrapText="1"/>
    </xf>
    <xf numFmtId="0" fontId="0" fillId="0" borderId="104" xfId="0" applyBorder="1" applyAlignment="1">
      <alignment horizontal="center" vertical="center" textRotation="90" wrapText="1"/>
    </xf>
    <xf numFmtId="4" fontId="0" fillId="0" borderId="107" xfId="0" applyNumberFormat="1" applyFont="1" applyFill="1" applyBorder="1" applyAlignment="1">
      <alignment horizontal="right" vertical="center"/>
    </xf>
    <xf numFmtId="4" fontId="0" fillId="0" borderId="108" xfId="0" applyNumberFormat="1" applyFont="1" applyFill="1" applyBorder="1" applyAlignment="1">
      <alignment horizontal="right" vertical="center"/>
    </xf>
    <xf numFmtId="4" fontId="0" fillId="10" borderId="107" xfId="0" applyNumberFormat="1" applyFont="1" applyFill="1" applyBorder="1" applyAlignment="1">
      <alignment horizontal="right" vertical="center"/>
    </xf>
    <xf numFmtId="4" fontId="0" fillId="10" borderId="108" xfId="0" applyNumberFormat="1" applyFont="1" applyFill="1" applyBorder="1" applyAlignment="1">
      <alignment horizontal="right" vertical="center"/>
    </xf>
    <xf numFmtId="0" fontId="1" fillId="0" borderId="107" xfId="0" applyNumberFormat="1" applyFont="1" applyFill="1" applyBorder="1" applyAlignment="1">
      <alignment horizontal="center" vertical="center"/>
    </xf>
    <xf numFmtId="0" fontId="1" fillId="0" borderId="108" xfId="0" applyNumberFormat="1" applyFont="1" applyFill="1" applyBorder="1" applyAlignment="1">
      <alignment horizontal="center" vertical="center"/>
    </xf>
    <xf numFmtId="3" fontId="1" fillId="0" borderId="107" xfId="0" applyNumberFormat="1" applyFont="1" applyFill="1" applyBorder="1" applyAlignment="1">
      <alignment horizontal="center" vertical="center"/>
    </xf>
    <xf numFmtId="3" fontId="1" fillId="0" borderId="108" xfId="0" applyNumberFormat="1" applyFont="1" applyFill="1" applyBorder="1" applyAlignment="1">
      <alignment horizontal="center" vertical="center"/>
    </xf>
    <xf numFmtId="4" fontId="1" fillId="0" borderId="107" xfId="60" applyNumberFormat="1" applyFont="1" applyFill="1" applyBorder="1" applyAlignment="1">
      <alignment horizontal="center" vertical="center"/>
    </xf>
    <xf numFmtId="4" fontId="1" fillId="0" borderId="108" xfId="60" applyNumberFormat="1" applyFont="1" applyFill="1" applyBorder="1" applyAlignment="1">
      <alignment horizontal="center" vertical="center"/>
    </xf>
    <xf numFmtId="4" fontId="1" fillId="0" borderId="107" xfId="0" applyNumberFormat="1" applyFont="1" applyFill="1" applyBorder="1" applyAlignment="1">
      <alignment horizontal="center" vertical="center"/>
    </xf>
    <xf numFmtId="4" fontId="1" fillId="0" borderId="108" xfId="0" applyNumberFormat="1" applyFont="1" applyFill="1" applyBorder="1" applyAlignment="1">
      <alignment horizontal="center" vertical="center"/>
    </xf>
    <xf numFmtId="0" fontId="1" fillId="0" borderId="68" xfId="0" applyNumberFormat="1" applyFont="1" applyFill="1" applyBorder="1" applyAlignment="1">
      <alignment horizontal="center" vertical="center" wrapText="1"/>
    </xf>
    <xf numFmtId="0" fontId="1" fillId="0" borderId="76" xfId="0" applyNumberFormat="1" applyFont="1" applyFill="1" applyBorder="1" applyAlignment="1">
      <alignment horizontal="center" vertical="center" wrapText="1"/>
    </xf>
    <xf numFmtId="0" fontId="1" fillId="0" borderId="77" xfId="0" applyNumberFormat="1" applyFont="1" applyFill="1" applyBorder="1" applyAlignment="1">
      <alignment horizontal="center" vertical="center" wrapText="1"/>
    </xf>
    <xf numFmtId="0" fontId="1" fillId="0" borderId="6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40" xfId="0" applyNumberFormat="1" applyFont="1" applyFill="1" applyBorder="1" applyAlignment="1">
      <alignment horizontal="center" vertical="center" wrapText="1"/>
    </xf>
    <xf numFmtId="0" fontId="1" fillId="0" borderId="67" xfId="0" applyNumberFormat="1" applyFont="1" applyFill="1" applyBorder="1" applyAlignment="1">
      <alignment horizontal="center" vertical="center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1" fillId="0" borderId="37" xfId="0" applyNumberFormat="1" applyFont="1" applyFill="1" applyBorder="1" applyAlignment="1">
      <alignment horizontal="center" vertical="center" wrapText="1"/>
    </xf>
    <xf numFmtId="1" fontId="1" fillId="0" borderId="23" xfId="0" applyNumberFormat="1" applyFont="1" applyFill="1" applyBorder="1" applyAlignment="1">
      <alignment horizontal="center"/>
    </xf>
    <xf numFmtId="1" fontId="1" fillId="0" borderId="109" xfId="0" applyNumberFormat="1" applyFont="1" applyFill="1" applyBorder="1" applyAlignment="1">
      <alignment horizontal="center"/>
    </xf>
    <xf numFmtId="1" fontId="1" fillId="0" borderId="38" xfId="0" applyNumberFormat="1" applyFont="1" applyFill="1" applyBorder="1" applyAlignment="1">
      <alignment horizontal="center"/>
    </xf>
    <xf numFmtId="0" fontId="1" fillId="0" borderId="110" xfId="0" applyNumberFormat="1" applyFont="1" applyBorder="1" applyAlignment="1">
      <alignment horizontal="center" vertical="center" textRotation="90" wrapText="1"/>
    </xf>
    <xf numFmtId="0" fontId="1" fillId="0" borderId="65" xfId="0" applyNumberFormat="1" applyFont="1" applyBorder="1" applyAlignment="1">
      <alignment horizontal="center" vertical="center" textRotation="90" wrapText="1"/>
    </xf>
    <xf numFmtId="0" fontId="1" fillId="0" borderId="111" xfId="0" applyFont="1" applyBorder="1" applyAlignment="1">
      <alignment horizontal="center" vertical="center" textRotation="90"/>
    </xf>
    <xf numFmtId="0" fontId="1" fillId="0" borderId="84" xfId="0" applyFont="1" applyBorder="1" applyAlignment="1">
      <alignment horizontal="center" vertical="center" textRotation="90"/>
    </xf>
    <xf numFmtId="0" fontId="1" fillId="0" borderId="85" xfId="0" applyFont="1" applyBorder="1" applyAlignment="1">
      <alignment horizontal="center" vertical="center" textRotation="90"/>
    </xf>
    <xf numFmtId="0" fontId="1" fillId="0" borderId="112" xfId="0" applyFont="1" applyBorder="1" applyAlignment="1">
      <alignment horizontal="center" vertical="center" textRotation="90"/>
    </xf>
    <xf numFmtId="0" fontId="1" fillId="0" borderId="36" xfId="0" applyFont="1" applyBorder="1" applyAlignment="1">
      <alignment horizontal="center" vertical="center" textRotation="90"/>
    </xf>
    <xf numFmtId="172" fontId="1" fillId="0" borderId="71" xfId="0" applyNumberFormat="1" applyFont="1" applyBorder="1" applyAlignment="1">
      <alignment horizontal="center" vertical="center" wrapText="1"/>
    </xf>
    <xf numFmtId="172" fontId="1" fillId="0" borderId="72" xfId="0" applyNumberFormat="1" applyFont="1" applyBorder="1" applyAlignment="1">
      <alignment horizontal="center" vertical="center" wrapText="1"/>
    </xf>
    <xf numFmtId="0" fontId="1" fillId="0" borderId="71" xfId="0" applyNumberFormat="1" applyFont="1" applyBorder="1" applyAlignment="1">
      <alignment horizontal="center" vertical="center" textRotation="90"/>
    </xf>
    <xf numFmtId="0" fontId="1" fillId="0" borderId="72" xfId="0" applyNumberFormat="1" applyFont="1" applyBorder="1" applyAlignment="1">
      <alignment horizontal="center" vertical="center" textRotation="90"/>
    </xf>
    <xf numFmtId="0" fontId="1" fillId="0" borderId="113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83" xfId="0" applyNumberFormat="1" applyFont="1" applyFill="1" applyBorder="1" applyAlignment="1">
      <alignment horizontal="center" vertical="center" wrapText="1"/>
    </xf>
    <xf numFmtId="0" fontId="1" fillId="0" borderId="85" xfId="0" applyNumberFormat="1" applyFont="1" applyFill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1" fillId="0" borderId="66" xfId="0" applyNumberFormat="1" applyFont="1" applyFill="1" applyBorder="1" applyAlignment="1">
      <alignment horizontal="center" vertical="center" wrapText="1"/>
    </xf>
    <xf numFmtId="0" fontId="1" fillId="0" borderId="64" xfId="0" applyNumberFormat="1" applyFont="1" applyFill="1" applyBorder="1" applyAlignment="1">
      <alignment horizontal="center" vertical="center" wrapText="1"/>
    </xf>
    <xf numFmtId="0" fontId="1" fillId="0" borderId="65" xfId="0" applyNumberFormat="1" applyFont="1" applyFill="1" applyBorder="1" applyAlignment="1">
      <alignment horizontal="center" vertical="center" wrapText="1"/>
    </xf>
    <xf numFmtId="0" fontId="1" fillId="27" borderId="89" xfId="0" applyNumberFormat="1" applyFont="1" applyFill="1" applyBorder="1" applyAlignment="1">
      <alignment horizontal="center" vertical="center"/>
    </xf>
    <xf numFmtId="0" fontId="1" fillId="27" borderId="75" xfId="0" applyNumberFormat="1" applyFont="1" applyFill="1" applyBorder="1" applyAlignment="1">
      <alignment horizontal="center" vertical="center"/>
    </xf>
    <xf numFmtId="0" fontId="1" fillId="27" borderId="58" xfId="0" applyNumberFormat="1" applyFont="1" applyFill="1" applyBorder="1" applyAlignment="1">
      <alignment horizontal="center" vertical="center" textRotation="90"/>
    </xf>
    <xf numFmtId="0" fontId="1" fillId="27" borderId="96" xfId="0" applyNumberFormat="1" applyFont="1" applyFill="1" applyBorder="1" applyAlignment="1">
      <alignment horizontal="center" vertical="center" textRotation="90"/>
    </xf>
    <xf numFmtId="0" fontId="0" fillId="0" borderId="0" xfId="0" applyAlignment="1">
      <alignment horizontal="center" wrapText="1"/>
    </xf>
    <xf numFmtId="0" fontId="0" fillId="0" borderId="56" xfId="0" applyBorder="1" applyAlignment="1">
      <alignment horizontal="center"/>
    </xf>
    <xf numFmtId="0" fontId="14" fillId="24" borderId="59" xfId="0" applyFont="1" applyFill="1" applyBorder="1" applyAlignment="1">
      <alignment horizontal="center" vertical="center" wrapText="1"/>
    </xf>
    <xf numFmtId="0" fontId="14" fillId="24" borderId="114" xfId="0" applyFont="1" applyFill="1" applyBorder="1" applyAlignment="1">
      <alignment horizontal="center" vertical="center" wrapText="1"/>
    </xf>
    <xf numFmtId="0" fontId="1" fillId="0" borderId="56" xfId="0" applyNumberFormat="1" applyFont="1" applyBorder="1" applyAlignment="1">
      <alignment horizontal="center" vertical="center" wrapText="1"/>
    </xf>
    <xf numFmtId="173" fontId="1" fillId="0" borderId="56" xfId="0" applyNumberFormat="1" applyFont="1" applyBorder="1" applyAlignment="1">
      <alignment horizontal="center" vertical="center" wrapText="1"/>
    </xf>
    <xf numFmtId="0" fontId="1" fillId="0" borderId="56" xfId="0" applyNumberFormat="1" applyFont="1" applyFill="1" applyBorder="1" applyAlignment="1">
      <alignment horizontal="center" vertical="center" textRotation="90" wrapText="1"/>
    </xf>
    <xf numFmtId="0" fontId="1" fillId="27" borderId="106" xfId="0" applyFont="1" applyFill="1" applyBorder="1" applyAlignment="1">
      <alignment horizontal="center" vertical="center" textRotation="90"/>
    </xf>
    <xf numFmtId="0" fontId="1" fillId="27" borderId="104" xfId="0" applyFont="1" applyFill="1" applyBorder="1" applyAlignment="1">
      <alignment horizontal="center" vertical="center" textRotation="90"/>
    </xf>
    <xf numFmtId="0" fontId="1" fillId="27" borderId="106" xfId="0" applyFont="1" applyFill="1" applyBorder="1" applyAlignment="1">
      <alignment horizontal="center" vertical="center" textRotation="90" wrapText="1"/>
    </xf>
    <xf numFmtId="0" fontId="1" fillId="27" borderId="104" xfId="0" applyFont="1" applyFill="1" applyBorder="1" applyAlignment="1">
      <alignment horizontal="center" vertical="center" textRotation="90" wrapText="1"/>
    </xf>
    <xf numFmtId="0" fontId="1" fillId="27" borderId="105" xfId="0" applyFont="1" applyFill="1" applyBorder="1" applyAlignment="1">
      <alignment horizontal="center" vertical="center" textRotation="90" wrapText="1"/>
    </xf>
    <xf numFmtId="0" fontId="1" fillId="27" borderId="72" xfId="0" applyFont="1" applyFill="1" applyBorder="1" applyAlignment="1">
      <alignment horizontal="center" vertical="center" textRotation="90" wrapText="1"/>
    </xf>
    <xf numFmtId="4" fontId="0" fillId="27" borderId="107" xfId="0" applyNumberFormat="1" applyFont="1" applyFill="1" applyBorder="1" applyAlignment="1">
      <alignment horizontal="right" vertical="center"/>
    </xf>
    <xf numFmtId="4" fontId="0" fillId="27" borderId="108" xfId="0" applyNumberFormat="1" applyFont="1" applyFill="1" applyBorder="1" applyAlignment="1">
      <alignment horizontal="right" vertical="center"/>
    </xf>
    <xf numFmtId="0" fontId="1" fillId="27" borderId="107" xfId="0" applyNumberFormat="1" applyFont="1" applyFill="1" applyBorder="1" applyAlignment="1">
      <alignment horizontal="center" vertical="center"/>
    </xf>
    <xf numFmtId="0" fontId="1" fillId="27" borderId="108" xfId="0" applyNumberFormat="1" applyFont="1" applyFill="1" applyBorder="1" applyAlignment="1">
      <alignment horizontal="center" vertical="center"/>
    </xf>
    <xf numFmtId="3" fontId="1" fillId="27" borderId="107" xfId="0" applyNumberFormat="1" applyFont="1" applyFill="1" applyBorder="1" applyAlignment="1">
      <alignment horizontal="center" vertical="center"/>
    </xf>
    <xf numFmtId="3" fontId="1" fillId="27" borderId="108" xfId="0" applyNumberFormat="1" applyFont="1" applyFill="1" applyBorder="1" applyAlignment="1">
      <alignment horizontal="center" vertical="center"/>
    </xf>
    <xf numFmtId="4" fontId="1" fillId="27" borderId="107" xfId="60" applyNumberFormat="1" applyFont="1" applyFill="1" applyBorder="1" applyAlignment="1">
      <alignment horizontal="center" vertical="center"/>
    </xf>
    <xf numFmtId="4" fontId="1" fillId="27" borderId="108" xfId="60" applyNumberFormat="1" applyFont="1" applyFill="1" applyBorder="1" applyAlignment="1">
      <alignment horizontal="center" vertical="center"/>
    </xf>
    <xf numFmtId="4" fontId="1" fillId="27" borderId="86" xfId="0" applyNumberFormat="1" applyFont="1" applyFill="1" applyBorder="1" applyAlignment="1">
      <alignment horizontal="center" vertical="center" textRotation="90"/>
    </xf>
    <xf numFmtId="4" fontId="1" fillId="27" borderId="87" xfId="0" applyNumberFormat="1" applyFont="1" applyFill="1" applyBorder="1" applyAlignment="1">
      <alignment horizontal="center" vertical="center" textRotation="90"/>
    </xf>
    <xf numFmtId="0" fontId="1" fillId="27" borderId="100" xfId="0" applyFont="1" applyFill="1" applyBorder="1" applyAlignment="1">
      <alignment horizontal="center" vertical="center" wrapText="1"/>
    </xf>
    <xf numFmtId="0" fontId="1" fillId="27" borderId="101" xfId="0" applyFont="1" applyFill="1" applyBorder="1" applyAlignment="1">
      <alignment horizontal="center" vertical="center"/>
    </xf>
    <xf numFmtId="0" fontId="1" fillId="27" borderId="56" xfId="0" applyFont="1" applyFill="1" applyBorder="1" applyAlignment="1">
      <alignment horizontal="center" vertical="center" textRotation="90"/>
    </xf>
    <xf numFmtId="0" fontId="1" fillId="27" borderId="42" xfId="0" applyFont="1" applyFill="1" applyBorder="1" applyAlignment="1">
      <alignment horizontal="center" vertical="center" textRotation="90"/>
    </xf>
    <xf numFmtId="0" fontId="1" fillId="27" borderId="46" xfId="0" applyNumberFormat="1" applyFont="1" applyFill="1" applyBorder="1" applyAlignment="1">
      <alignment horizontal="center" vertical="center"/>
    </xf>
    <xf numFmtId="0" fontId="1" fillId="27" borderId="102" xfId="0" applyNumberFormat="1" applyFont="1" applyFill="1" applyBorder="1" applyAlignment="1">
      <alignment horizontal="center" vertical="center"/>
    </xf>
    <xf numFmtId="0" fontId="1" fillId="27" borderId="70" xfId="0" applyNumberFormat="1" applyFont="1" applyFill="1" applyBorder="1" applyAlignment="1">
      <alignment horizontal="center" vertical="center" wrapText="1"/>
    </xf>
    <xf numFmtId="0" fontId="1" fillId="27" borderId="74" xfId="0" applyNumberFormat="1" applyFont="1" applyFill="1" applyBorder="1" applyAlignment="1">
      <alignment horizontal="center" vertical="center" wrapText="1"/>
    </xf>
    <xf numFmtId="172" fontId="1" fillId="27" borderId="83" xfId="0" applyNumberFormat="1" applyFont="1" applyFill="1" applyBorder="1" applyAlignment="1">
      <alignment horizontal="center" vertical="center" wrapText="1"/>
    </xf>
    <xf numFmtId="172" fontId="1" fillId="27" borderId="84" xfId="0" applyNumberFormat="1" applyFont="1" applyFill="1" applyBorder="1" applyAlignment="1">
      <alignment horizontal="center" vertical="center" wrapText="1"/>
    </xf>
    <xf numFmtId="172" fontId="1" fillId="27" borderId="103" xfId="0" applyNumberFormat="1" applyFont="1" applyFill="1" applyBorder="1" applyAlignment="1">
      <alignment horizontal="center" vertical="center" wrapText="1"/>
    </xf>
    <xf numFmtId="0" fontId="2" fillId="27" borderId="0" xfId="0" applyFont="1" applyFill="1" applyBorder="1" applyAlignment="1">
      <alignment horizontal="right"/>
    </xf>
    <xf numFmtId="0" fontId="4" fillId="27" borderId="0" xfId="0" applyNumberFormat="1" applyFont="1" applyFill="1" applyAlignment="1">
      <alignment horizontal="center"/>
    </xf>
    <xf numFmtId="0" fontId="4" fillId="27" borderId="0" xfId="0" applyFont="1" applyFill="1" applyBorder="1" applyAlignment="1">
      <alignment horizontal="center"/>
    </xf>
    <xf numFmtId="0" fontId="1" fillId="27" borderId="90" xfId="0" applyFont="1" applyFill="1" applyBorder="1" applyAlignment="1">
      <alignment horizontal="center" vertical="center" textRotation="90" wrapText="1"/>
    </xf>
    <xf numFmtId="0" fontId="1" fillId="27" borderId="91" xfId="0" applyFont="1" applyFill="1" applyBorder="1" applyAlignment="1">
      <alignment horizontal="center" vertical="center" textRotation="90" wrapText="1"/>
    </xf>
    <xf numFmtId="0" fontId="1" fillId="27" borderId="92" xfId="0" applyFont="1" applyFill="1" applyBorder="1" applyAlignment="1">
      <alignment horizontal="center" vertical="center" textRotation="90" wrapText="1"/>
    </xf>
    <xf numFmtId="0" fontId="1" fillId="27" borderId="93" xfId="0" applyFont="1" applyFill="1" applyBorder="1" applyAlignment="1">
      <alignment horizontal="center" vertical="center" textRotation="90" wrapText="1"/>
    </xf>
    <xf numFmtId="0" fontId="1" fillId="27" borderId="81" xfId="0" applyFont="1" applyFill="1" applyBorder="1" applyAlignment="1">
      <alignment horizontal="center" vertical="center"/>
    </xf>
    <xf numFmtId="0" fontId="1" fillId="27" borderId="82" xfId="0" applyFont="1" applyFill="1" applyBorder="1" applyAlignment="1">
      <alignment horizontal="center" vertical="center"/>
    </xf>
    <xf numFmtId="0" fontId="1" fillId="27" borderId="11" xfId="0" applyFont="1" applyFill="1" applyBorder="1" applyAlignment="1">
      <alignment horizontal="center" vertical="center"/>
    </xf>
    <xf numFmtId="0" fontId="1" fillId="27" borderId="40" xfId="0" applyFont="1" applyFill="1" applyBorder="1" applyAlignment="1">
      <alignment horizontal="center" vertical="center" textRotation="90" wrapText="1"/>
    </xf>
    <xf numFmtId="0" fontId="1" fillId="27" borderId="37" xfId="0" applyFont="1" applyFill="1" applyBorder="1" applyAlignment="1">
      <alignment horizontal="center" vertical="center" textRotation="90"/>
    </xf>
    <xf numFmtId="0" fontId="1" fillId="27" borderId="12" xfId="0" applyNumberFormat="1" applyFont="1" applyFill="1" applyBorder="1" applyAlignment="1">
      <alignment horizontal="center" vertical="center" wrapText="1"/>
    </xf>
    <xf numFmtId="0" fontId="1" fillId="27" borderId="33" xfId="0" applyNumberFormat="1" applyFont="1" applyFill="1" applyBorder="1" applyAlignment="1">
      <alignment horizontal="center" vertical="center" wrapText="1"/>
    </xf>
    <xf numFmtId="0" fontId="1" fillId="27" borderId="98" xfId="0" applyNumberFormat="1" applyFont="1" applyFill="1" applyBorder="1" applyAlignment="1">
      <alignment horizontal="center" vertical="center" wrapText="1"/>
    </xf>
    <xf numFmtId="0" fontId="1" fillId="27" borderId="56" xfId="0" applyNumberFormat="1" applyFont="1" applyFill="1" applyBorder="1" applyAlignment="1">
      <alignment horizontal="center" vertical="center"/>
    </xf>
    <xf numFmtId="0" fontId="1" fillId="27" borderId="43" xfId="0" applyNumberFormat="1" applyFont="1" applyFill="1" applyBorder="1" applyAlignment="1">
      <alignment horizontal="center" vertical="center"/>
    </xf>
    <xf numFmtId="172" fontId="1" fillId="27" borderId="49" xfId="0" applyNumberFormat="1" applyFont="1" applyFill="1" applyBorder="1" applyAlignment="1">
      <alignment horizontal="center" vertical="center"/>
    </xf>
    <xf numFmtId="0" fontId="1" fillId="27" borderId="68" xfId="0" applyFont="1" applyFill="1" applyBorder="1" applyAlignment="1">
      <alignment horizontal="center" vertical="center" wrapText="1"/>
    </xf>
    <xf numFmtId="0" fontId="1" fillId="27" borderId="76" xfId="0" applyFont="1" applyFill="1" applyBorder="1" applyAlignment="1">
      <alignment horizontal="center" vertical="center" wrapText="1"/>
    </xf>
    <xf numFmtId="0" fontId="1" fillId="27" borderId="77" xfId="0" applyFont="1" applyFill="1" applyBorder="1" applyAlignment="1">
      <alignment horizontal="center" vertical="center" wrapText="1"/>
    </xf>
    <xf numFmtId="0" fontId="1" fillId="27" borderId="78" xfId="0" applyFont="1" applyFill="1" applyBorder="1" applyAlignment="1">
      <alignment horizontal="center" vertical="center" wrapText="1"/>
    </xf>
    <xf numFmtId="0" fontId="1" fillId="27" borderId="79" xfId="0" applyFont="1" applyFill="1" applyBorder="1" applyAlignment="1">
      <alignment horizontal="center" vertical="center" wrapText="1"/>
    </xf>
    <xf numFmtId="0" fontId="1" fillId="27" borderId="80" xfId="0" applyFont="1" applyFill="1" applyBorder="1" applyAlignment="1">
      <alignment horizontal="center" vertical="center" wrapText="1"/>
    </xf>
    <xf numFmtId="0" fontId="0" fillId="27" borderId="68" xfId="0" applyFont="1" applyFill="1" applyBorder="1" applyAlignment="1">
      <alignment horizontal="center" vertical="center" wrapText="1"/>
    </xf>
    <xf numFmtId="0" fontId="0" fillId="27" borderId="76" xfId="0" applyFont="1" applyFill="1" applyBorder="1" applyAlignment="1">
      <alignment horizontal="center" vertical="center"/>
    </xf>
    <xf numFmtId="0" fontId="0" fillId="27" borderId="78" xfId="0" applyFont="1" applyFill="1" applyBorder="1" applyAlignment="1">
      <alignment horizontal="center" vertical="center"/>
    </xf>
    <xf numFmtId="0" fontId="0" fillId="27" borderId="79" xfId="0" applyFont="1" applyFill="1" applyBorder="1" applyAlignment="1">
      <alignment horizontal="center" vertical="center"/>
    </xf>
    <xf numFmtId="0" fontId="1" fillId="27" borderId="81" xfId="0" applyNumberFormat="1" applyFont="1" applyFill="1" applyBorder="1" applyAlignment="1">
      <alignment horizontal="center" vertical="center"/>
    </xf>
    <xf numFmtId="0" fontId="1" fillId="27" borderId="82" xfId="0" applyNumberFormat="1" applyFont="1" applyFill="1" applyBorder="1" applyAlignment="1">
      <alignment horizontal="center" vertical="center"/>
    </xf>
    <xf numFmtId="0" fontId="1" fillId="27" borderId="11" xfId="0" applyNumberFormat="1" applyFont="1" applyFill="1" applyBorder="1" applyAlignment="1">
      <alignment horizontal="center" vertical="center"/>
    </xf>
    <xf numFmtId="0" fontId="1" fillId="27" borderId="83" xfId="0" applyNumberFormat="1" applyFont="1" applyFill="1" applyBorder="1" applyAlignment="1">
      <alignment horizontal="center" vertical="center" wrapText="1"/>
    </xf>
    <xf numFmtId="0" fontId="1" fillId="27" borderId="84" xfId="0" applyNumberFormat="1" applyFont="1" applyFill="1" applyBorder="1" applyAlignment="1">
      <alignment horizontal="center" vertical="center" wrapText="1"/>
    </xf>
    <xf numFmtId="0" fontId="1" fillId="27" borderId="85" xfId="0" applyNumberFormat="1" applyFont="1" applyFill="1" applyBorder="1" applyAlignment="1">
      <alignment horizontal="center" vertical="center" wrapText="1"/>
    </xf>
    <xf numFmtId="0" fontId="1" fillId="27" borderId="99" xfId="0" applyFont="1" applyFill="1" applyBorder="1" applyAlignment="1">
      <alignment horizontal="center" vertical="center" textRotation="90" wrapText="1"/>
    </xf>
    <xf numFmtId="0" fontId="1" fillId="27" borderId="71" xfId="0" applyFont="1" applyFill="1" applyBorder="1" applyAlignment="1">
      <alignment horizontal="center" vertical="center" textRotation="90" wrapText="1"/>
    </xf>
    <xf numFmtId="0" fontId="1" fillId="27" borderId="87" xfId="0" applyFont="1" applyFill="1" applyBorder="1" applyAlignment="1">
      <alignment horizontal="center" vertical="center" textRotation="90" wrapText="1"/>
    </xf>
    <xf numFmtId="0" fontId="1" fillId="27" borderId="70" xfId="0" applyFont="1" applyFill="1" applyBorder="1" applyAlignment="1">
      <alignment horizontal="center" vertical="center" textRotation="90" wrapText="1"/>
    </xf>
    <xf numFmtId="0" fontId="1" fillId="27" borderId="74" xfId="0" applyFont="1" applyFill="1" applyBorder="1" applyAlignment="1">
      <alignment horizontal="center" vertical="center" textRotation="90" wrapText="1"/>
    </xf>
    <xf numFmtId="0" fontId="1" fillId="27" borderId="58" xfId="0" applyFont="1" applyFill="1" applyBorder="1" applyAlignment="1">
      <alignment horizontal="center" vertical="center" textRotation="90"/>
    </xf>
    <xf numFmtId="0" fontId="1" fillId="27" borderId="96" xfId="0" applyFont="1" applyFill="1" applyBorder="1" applyAlignment="1">
      <alignment horizontal="center" vertical="center" textRotation="90"/>
    </xf>
    <xf numFmtId="0" fontId="0" fillId="27" borderId="85" xfId="0" applyFont="1" applyFill="1" applyBorder="1" applyAlignment="1">
      <alignment horizontal="center" vertical="center" textRotation="90"/>
    </xf>
    <xf numFmtId="0" fontId="0" fillId="27" borderId="37" xfId="0" applyFont="1" applyFill="1" applyBorder="1" applyAlignment="1">
      <alignment horizontal="center" vertical="center" textRotation="90"/>
    </xf>
    <xf numFmtId="0" fontId="0" fillId="27" borderId="105" xfId="0" applyFont="1" applyFill="1" applyBorder="1" applyAlignment="1">
      <alignment horizontal="center" vertical="center" textRotation="90" wrapText="1"/>
    </xf>
    <xf numFmtId="0" fontId="0" fillId="27" borderId="72" xfId="0" applyFont="1" applyFill="1" applyBorder="1" applyAlignment="1">
      <alignment horizontal="center" vertical="center" textRotation="90" wrapText="1"/>
    </xf>
    <xf numFmtId="0" fontId="1" fillId="27" borderId="86" xfId="0" applyFont="1" applyFill="1" applyBorder="1" applyAlignment="1">
      <alignment horizontal="center" vertical="center" textRotation="90"/>
    </xf>
    <xf numFmtId="0" fontId="1" fillId="27" borderId="87" xfId="0" applyFont="1" applyFill="1" applyBorder="1" applyAlignment="1">
      <alignment horizontal="center" vertical="center" textRotation="90"/>
    </xf>
    <xf numFmtId="0" fontId="1" fillId="27" borderId="41" xfId="0" applyFont="1" applyFill="1" applyBorder="1" applyAlignment="1">
      <alignment horizontal="center" vertical="center"/>
    </xf>
    <xf numFmtId="0" fontId="1" fillId="27" borderId="88" xfId="0" applyFont="1" applyFill="1" applyBorder="1" applyAlignment="1">
      <alignment horizontal="center" vertical="center"/>
    </xf>
    <xf numFmtId="0" fontId="1" fillId="27" borderId="89" xfId="0" applyFont="1" applyFill="1" applyBorder="1" applyAlignment="1">
      <alignment horizontal="center" vertical="center"/>
    </xf>
    <xf numFmtId="0" fontId="1" fillId="27" borderId="75" xfId="0" applyFont="1" applyFill="1" applyBorder="1" applyAlignment="1">
      <alignment horizontal="center" vertical="center"/>
    </xf>
    <xf numFmtId="0" fontId="1" fillId="27" borderId="90" xfId="0" applyFont="1" applyFill="1" applyBorder="1" applyAlignment="1">
      <alignment horizontal="center" vertical="center" textRotation="90"/>
    </xf>
    <xf numFmtId="0" fontId="1" fillId="27" borderId="91" xfId="0" applyFont="1" applyFill="1" applyBorder="1" applyAlignment="1">
      <alignment horizontal="center" vertical="center" textRotation="90"/>
    </xf>
    <xf numFmtId="0" fontId="1" fillId="27" borderId="92" xfId="0" applyFont="1" applyFill="1" applyBorder="1" applyAlignment="1">
      <alignment horizontal="center" vertical="center" textRotation="90"/>
    </xf>
    <xf numFmtId="0" fontId="1" fillId="27" borderId="93" xfId="0" applyFont="1" applyFill="1" applyBorder="1" applyAlignment="1">
      <alignment horizontal="center" vertical="center" textRotation="90"/>
    </xf>
    <xf numFmtId="0" fontId="1" fillId="27" borderId="61" xfId="0" applyFont="1" applyFill="1" applyBorder="1" applyAlignment="1">
      <alignment horizontal="center" vertical="center" textRotation="90" wrapText="1"/>
    </xf>
    <xf numFmtId="0" fontId="1" fillId="27" borderId="94" xfId="0" applyFont="1" applyFill="1" applyBorder="1" applyAlignment="1">
      <alignment horizontal="center" vertical="center" textRotation="90" wrapText="1"/>
    </xf>
    <xf numFmtId="0" fontId="1" fillId="27" borderId="42" xfId="0" applyFont="1" applyFill="1" applyBorder="1" applyAlignment="1">
      <alignment horizontal="center" vertical="center" textRotation="90" wrapText="1"/>
    </xf>
    <xf numFmtId="0" fontId="1" fillId="27" borderId="95" xfId="0" applyFont="1" applyFill="1" applyBorder="1" applyAlignment="1">
      <alignment horizontal="center" vertical="center" textRotation="90"/>
    </xf>
    <xf numFmtId="0" fontId="1" fillId="27" borderId="94" xfId="0" applyFont="1" applyFill="1" applyBorder="1" applyAlignment="1">
      <alignment horizontal="center" vertical="center" textRotation="90"/>
    </xf>
    <xf numFmtId="0" fontId="1" fillId="27" borderId="97" xfId="0" applyNumberFormat="1" applyFont="1" applyFill="1" applyBorder="1" applyAlignment="1">
      <alignment horizontal="center" vertical="center"/>
    </xf>
    <xf numFmtId="0" fontId="1" fillId="27" borderId="71" xfId="0" applyNumberFormat="1" applyFont="1" applyFill="1" applyBorder="1" applyAlignment="1">
      <alignment horizontal="center" vertical="center"/>
    </xf>
    <xf numFmtId="0" fontId="1" fillId="27" borderId="72" xfId="0" applyNumberFormat="1" applyFont="1" applyFill="1" applyBorder="1" applyAlignment="1">
      <alignment horizontal="center" vertical="center"/>
    </xf>
    <xf numFmtId="0" fontId="1" fillId="27" borderId="61" xfId="0" applyFont="1" applyFill="1" applyBorder="1" applyAlignment="1">
      <alignment horizontal="center" vertical="center" textRotation="90"/>
    </xf>
    <xf numFmtId="0" fontId="1" fillId="27" borderId="68" xfId="0" applyNumberFormat="1" applyFont="1" applyFill="1" applyBorder="1" applyAlignment="1">
      <alignment horizontal="center" vertical="center" wrapText="1"/>
    </xf>
    <xf numFmtId="0" fontId="1" fillId="27" borderId="69" xfId="0" applyNumberFormat="1" applyFont="1" applyFill="1" applyBorder="1" applyAlignment="1">
      <alignment horizontal="center" vertical="center" wrapText="1"/>
    </xf>
    <xf numFmtId="0" fontId="1" fillId="27" borderId="67" xfId="0" applyNumberFormat="1" applyFont="1" applyFill="1" applyBorder="1" applyAlignment="1">
      <alignment horizontal="center" vertical="center" wrapText="1"/>
    </xf>
    <xf numFmtId="173" fontId="1" fillId="27" borderId="66" xfId="0" applyNumberFormat="1" applyFont="1" applyFill="1" applyBorder="1" applyAlignment="1">
      <alignment horizontal="center" vertical="center" wrapText="1"/>
    </xf>
    <xf numFmtId="173" fontId="1" fillId="27" borderId="64" xfId="0" applyNumberFormat="1" applyFont="1" applyFill="1" applyBorder="1" applyAlignment="1">
      <alignment horizontal="center" vertical="center" wrapText="1"/>
    </xf>
    <xf numFmtId="173" fontId="1" fillId="27" borderId="65" xfId="0" applyNumberFormat="1" applyFont="1" applyFill="1" applyBorder="1" applyAlignment="1">
      <alignment horizontal="center" vertical="center" wrapText="1"/>
    </xf>
    <xf numFmtId="0" fontId="1" fillId="27" borderId="66" xfId="0" applyNumberFormat="1" applyFont="1" applyFill="1" applyBorder="1" applyAlignment="1">
      <alignment horizontal="center" vertical="center" textRotation="90" wrapText="1"/>
    </xf>
    <xf numFmtId="0" fontId="1" fillId="27" borderId="64" xfId="0" applyNumberFormat="1" applyFont="1" applyFill="1" applyBorder="1" applyAlignment="1">
      <alignment horizontal="center" vertical="center" textRotation="90" wrapText="1"/>
    </xf>
    <xf numFmtId="0" fontId="1" fillId="27" borderId="65" xfId="0" applyNumberFormat="1" applyFont="1" applyFill="1" applyBorder="1" applyAlignment="1">
      <alignment horizontal="center" vertical="center" textRotation="90" wrapText="1"/>
    </xf>
    <xf numFmtId="0" fontId="1" fillId="27" borderId="66" xfId="0" applyFont="1" applyFill="1" applyBorder="1" applyAlignment="1">
      <alignment horizontal="center" vertical="center" textRotation="90" wrapText="1"/>
    </xf>
    <xf numFmtId="0" fontId="1" fillId="27" borderId="64" xfId="0" applyFont="1" applyFill="1" applyBorder="1" applyAlignment="1">
      <alignment horizontal="center" vertical="center" textRotation="90" wrapText="1"/>
    </xf>
    <xf numFmtId="0" fontId="1" fillId="27" borderId="65" xfId="0" applyFont="1" applyFill="1" applyBorder="1" applyAlignment="1">
      <alignment horizontal="center" vertical="center" textRotation="90" wrapText="1"/>
    </xf>
    <xf numFmtId="0" fontId="1" fillId="27" borderId="66" xfId="0" applyFont="1" applyFill="1" applyBorder="1" applyAlignment="1">
      <alignment horizontal="center" vertical="center" textRotation="90"/>
    </xf>
    <xf numFmtId="0" fontId="1" fillId="27" borderId="64" xfId="0" applyFont="1" applyFill="1" applyBorder="1" applyAlignment="1">
      <alignment horizontal="center" vertical="center" textRotation="90"/>
    </xf>
    <xf numFmtId="0" fontId="1" fillId="27" borderId="65" xfId="0" applyFont="1" applyFill="1" applyBorder="1" applyAlignment="1">
      <alignment horizontal="center" vertical="center" textRotation="90"/>
    </xf>
    <xf numFmtId="4" fontId="1" fillId="27" borderId="46" xfId="0" applyNumberFormat="1" applyFont="1" applyFill="1" applyBorder="1" applyAlignment="1">
      <alignment horizontal="center" vertical="center"/>
    </xf>
    <xf numFmtId="4" fontId="1" fillId="27" borderId="75" xfId="0" applyNumberFormat="1" applyFont="1" applyFill="1" applyBorder="1" applyAlignment="1">
      <alignment horizontal="center" vertical="center"/>
    </xf>
    <xf numFmtId="172" fontId="1" fillId="27" borderId="46" xfId="0" applyNumberFormat="1" applyFont="1" applyFill="1" applyBorder="1" applyAlignment="1">
      <alignment horizontal="center" vertical="center"/>
    </xf>
    <xf numFmtId="172" fontId="1" fillId="27" borderId="75" xfId="0" applyNumberFormat="1" applyFont="1" applyFill="1" applyBorder="1" applyAlignment="1">
      <alignment horizontal="center" vertical="center"/>
    </xf>
    <xf numFmtId="0" fontId="1" fillId="27" borderId="71" xfId="0" applyFont="1" applyFill="1" applyBorder="1" applyAlignment="1">
      <alignment horizontal="center" vertical="center" textRotation="90"/>
    </xf>
    <xf numFmtId="0" fontId="1" fillId="27" borderId="72" xfId="0" applyFont="1" applyFill="1" applyBorder="1" applyAlignment="1">
      <alignment horizontal="center" vertical="center" textRotation="90"/>
    </xf>
    <xf numFmtId="4" fontId="1" fillId="27" borderId="70" xfId="0" applyNumberFormat="1" applyFont="1" applyFill="1" applyBorder="1" applyAlignment="1">
      <alignment horizontal="center" vertical="center" wrapText="1"/>
    </xf>
    <xf numFmtId="4" fontId="1" fillId="27" borderId="74" xfId="0" applyNumberFormat="1" applyFont="1" applyFill="1" applyBorder="1" applyAlignment="1">
      <alignment horizontal="center" vertical="center" wrapText="1"/>
    </xf>
    <xf numFmtId="3" fontId="1" fillId="27" borderId="71" xfId="0" applyNumberFormat="1" applyFont="1" applyFill="1" applyBorder="1" applyAlignment="1">
      <alignment horizontal="center" vertical="center" wrapText="1"/>
    </xf>
    <xf numFmtId="3" fontId="1" fillId="27" borderId="72" xfId="0" applyNumberFormat="1" applyFont="1" applyFill="1" applyBorder="1" applyAlignment="1">
      <alignment horizontal="center" vertical="center" wrapText="1"/>
    </xf>
    <xf numFmtId="172" fontId="1" fillId="27" borderId="73" xfId="0" applyNumberFormat="1" applyFont="1" applyFill="1" applyBorder="1" applyAlignment="1">
      <alignment horizontal="center" vertical="center" wrapText="1"/>
    </xf>
    <xf numFmtId="172" fontId="1" fillId="27" borderId="70" xfId="0" applyNumberFormat="1" applyFont="1" applyFill="1" applyBorder="1" applyAlignment="1">
      <alignment horizontal="center" vertical="center" wrapText="1"/>
    </xf>
    <xf numFmtId="172" fontId="1" fillId="27" borderId="44" xfId="0" applyNumberFormat="1" applyFont="1" applyFill="1" applyBorder="1" applyAlignment="1">
      <alignment horizontal="center" vertical="center" wrapText="1"/>
    </xf>
    <xf numFmtId="4" fontId="1" fillId="27" borderId="60" xfId="0" applyNumberFormat="1" applyFont="1" applyFill="1" applyBorder="1" applyAlignment="1">
      <alignment horizontal="center" vertical="center" textRotation="90"/>
    </xf>
    <xf numFmtId="4" fontId="1" fillId="27" borderId="104" xfId="0" applyNumberFormat="1" applyFont="1" applyFill="1" applyBorder="1" applyAlignment="1">
      <alignment horizontal="center" vertical="center" textRotation="90"/>
    </xf>
    <xf numFmtId="0" fontId="1" fillId="27" borderId="49" xfId="0" applyFont="1" applyFill="1" applyBorder="1" applyAlignment="1">
      <alignment horizontal="center" vertical="center"/>
    </xf>
    <xf numFmtId="175" fontId="1" fillId="27" borderId="49" xfId="60" applyNumberFormat="1" applyFont="1" applyFill="1" applyBorder="1" applyAlignment="1">
      <alignment horizontal="center" vertical="center"/>
    </xf>
    <xf numFmtId="1" fontId="1" fillId="27" borderId="50" xfId="0" applyNumberFormat="1" applyFont="1" applyFill="1" applyBorder="1" applyAlignment="1">
      <alignment horizontal="center" vertical="center"/>
    </xf>
    <xf numFmtId="0" fontId="1" fillId="27" borderId="49" xfId="0" applyNumberFormat="1" applyFont="1" applyFill="1" applyBorder="1" applyAlignment="1">
      <alignment horizontal="center" vertical="center"/>
    </xf>
    <xf numFmtId="175" fontId="0" fillId="27" borderId="49" xfId="60" applyNumberFormat="1" applyFont="1" applyFill="1" applyBorder="1" applyAlignment="1">
      <alignment horizontal="center" vertical="center"/>
    </xf>
    <xf numFmtId="173" fontId="1" fillId="27" borderId="49" xfId="0" applyNumberFormat="1" applyFont="1" applyFill="1" applyBorder="1" applyAlignment="1">
      <alignment horizontal="center" vertical="center"/>
    </xf>
    <xf numFmtId="0" fontId="1" fillId="27" borderId="49" xfId="0" applyFont="1" applyFill="1" applyBorder="1" applyAlignment="1" quotePrefix="1">
      <alignment horizontal="center" vertical="center"/>
    </xf>
    <xf numFmtId="2" fontId="1" fillId="27" borderId="51" xfId="0" applyNumberFormat="1" applyFont="1" applyFill="1" applyBorder="1" applyAlignment="1">
      <alignment horizontal="center" vertical="center"/>
    </xf>
    <xf numFmtId="2" fontId="1" fillId="27" borderId="49" xfId="0" applyNumberFormat="1" applyFont="1" applyFill="1" applyBorder="1" applyAlignment="1">
      <alignment horizontal="right" vertical="center"/>
    </xf>
    <xf numFmtId="172" fontId="0" fillId="27" borderId="49" xfId="0" applyNumberFormat="1" applyFont="1" applyFill="1" applyBorder="1" applyAlignment="1">
      <alignment horizontal="center" vertical="center"/>
    </xf>
    <xf numFmtId="0" fontId="1" fillId="27" borderId="49" xfId="0" applyFont="1" applyFill="1" applyBorder="1" applyAlignment="1">
      <alignment horizontal="right" vertical="center"/>
    </xf>
    <xf numFmtId="4" fontId="1" fillId="27" borderId="107" xfId="0" applyNumberFormat="1" applyFont="1" applyFill="1" applyBorder="1" applyAlignment="1">
      <alignment horizontal="center" vertical="center"/>
    </xf>
    <xf numFmtId="4" fontId="1" fillId="27" borderId="108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0"/>
  <sheetViews>
    <sheetView zoomScale="75" zoomScaleNormal="75" zoomScaleSheetLayoutView="75" zoomScalePageLayoutView="0" workbookViewId="0" topLeftCell="A1">
      <pane xSplit="3" ySplit="7" topLeftCell="K11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12" sqref="J12"/>
    </sheetView>
  </sheetViews>
  <sheetFormatPr defaultColWidth="9.140625" defaultRowHeight="12.75"/>
  <cols>
    <col min="1" max="1" width="5.00390625" style="350" customWidth="1"/>
    <col min="2" max="2" width="17.00390625" style="350" customWidth="1"/>
    <col min="3" max="3" width="5.421875" style="358" customWidth="1"/>
    <col min="4" max="5" width="8.140625" style="350" customWidth="1"/>
    <col min="6" max="6" width="5.7109375" style="350" customWidth="1"/>
    <col min="7" max="7" width="8.28125" style="350" customWidth="1"/>
    <col min="8" max="8" width="10.57421875" style="358" customWidth="1"/>
    <col min="9" max="9" width="11.7109375" style="350" customWidth="1"/>
    <col min="10" max="10" width="11.57421875" style="350" customWidth="1"/>
    <col min="11" max="11" width="13.421875" style="372" customWidth="1"/>
    <col min="12" max="12" width="9.28125" style="372" customWidth="1"/>
    <col min="13" max="13" width="12.140625" style="373" customWidth="1"/>
    <col min="14" max="14" width="7.28125" style="358" customWidth="1"/>
    <col min="15" max="15" width="6.28125" style="350" customWidth="1"/>
    <col min="16" max="16" width="5.7109375" style="350" customWidth="1"/>
    <col min="17" max="17" width="11.57421875" style="350" customWidth="1"/>
    <col min="18" max="18" width="10.57421875" style="350" bestFit="1" customWidth="1"/>
    <col min="19" max="19" width="8.00390625" style="350" bestFit="1" customWidth="1"/>
    <col min="20" max="20" width="10.421875" style="350" customWidth="1"/>
    <col min="21" max="21" width="10.28125" style="358" customWidth="1"/>
    <col min="22" max="22" width="11.7109375" style="358" customWidth="1"/>
    <col min="23" max="23" width="9.140625" style="358" customWidth="1"/>
    <col min="24" max="24" width="6.57421875" style="350" customWidth="1"/>
    <col min="25" max="25" width="6.421875" style="350" customWidth="1"/>
    <col min="26" max="26" width="5.00390625" style="350" customWidth="1"/>
    <col min="27" max="27" width="4.140625" style="350" customWidth="1"/>
    <col min="28" max="28" width="4.28125" style="350" customWidth="1"/>
    <col min="29" max="29" width="4.140625" style="350" customWidth="1"/>
    <col min="30" max="30" width="6.8515625" style="350" customWidth="1"/>
    <col min="31" max="31" width="6.421875" style="350" customWidth="1"/>
    <col min="32" max="32" width="5.8515625" style="374" customWidth="1"/>
    <col min="33" max="33" width="12.421875" style="350" bestFit="1" customWidth="1"/>
    <col min="34" max="34" width="11.57421875" style="350" customWidth="1"/>
    <col min="35" max="35" width="9.140625" style="1" customWidth="1"/>
    <col min="36" max="36" width="6.8515625" style="1" customWidth="1"/>
    <col min="37" max="37" width="6.8515625" style="1" bestFit="1" customWidth="1"/>
    <col min="38" max="38" width="5.28125" style="1" bestFit="1" customWidth="1"/>
    <col min="39" max="39" width="8.140625" style="350" bestFit="1" customWidth="1"/>
    <col min="40" max="16384" width="9.140625" style="350" customWidth="1"/>
  </cols>
  <sheetData>
    <row r="1" spans="1:38" s="349" customFormat="1" ht="27" customHeight="1" thickBot="1">
      <c r="A1" s="260"/>
      <c r="B1" s="261" t="s">
        <v>102</v>
      </c>
      <c r="C1" s="262"/>
      <c r="D1" s="260"/>
      <c r="E1" s="263"/>
      <c r="F1" s="263"/>
      <c r="G1" s="263"/>
      <c r="H1" s="264"/>
      <c r="I1" s="265"/>
      <c r="J1" s="266"/>
      <c r="K1" s="267"/>
      <c r="L1" s="267"/>
      <c r="M1" s="264"/>
      <c r="N1" s="268"/>
      <c r="O1" s="269"/>
      <c r="P1" s="263"/>
      <c r="Q1" s="263"/>
      <c r="R1" s="263"/>
      <c r="S1" s="263"/>
      <c r="T1" s="263"/>
      <c r="U1" s="270"/>
      <c r="V1" s="270"/>
      <c r="W1" s="270"/>
      <c r="X1" s="263"/>
      <c r="Y1" s="263"/>
      <c r="Z1" s="263"/>
      <c r="AA1" s="263"/>
      <c r="AB1" s="263"/>
      <c r="AC1" s="263"/>
      <c r="AD1" s="260"/>
      <c r="AE1" s="260"/>
      <c r="AF1" s="263"/>
      <c r="AI1" s="260"/>
      <c r="AJ1" s="260"/>
      <c r="AK1" s="260"/>
      <c r="AL1" s="260"/>
    </row>
    <row r="2" spans="1:39" ht="15.75" customHeight="1" thickBot="1">
      <c r="A2" s="656" t="s">
        <v>0</v>
      </c>
      <c r="B2" s="655" t="s">
        <v>1</v>
      </c>
      <c r="C2" s="652" t="s">
        <v>110</v>
      </c>
      <c r="D2" s="648" t="s">
        <v>3</v>
      </c>
      <c r="E2" s="648" t="s">
        <v>4</v>
      </c>
      <c r="F2" s="647" t="s">
        <v>5</v>
      </c>
      <c r="G2" s="679" t="s">
        <v>6</v>
      </c>
      <c r="H2" s="680"/>
      <c r="I2" s="681" t="s">
        <v>88</v>
      </c>
      <c r="J2" s="682"/>
      <c r="K2" s="753" t="s">
        <v>7</v>
      </c>
      <c r="L2" s="746"/>
      <c r="M2" s="746"/>
      <c r="N2" s="754"/>
      <c r="O2" s="166"/>
      <c r="P2" s="746" t="s">
        <v>8</v>
      </c>
      <c r="Q2" s="747"/>
      <c r="R2" s="696" t="s">
        <v>91</v>
      </c>
      <c r="S2" s="697"/>
      <c r="T2" s="698"/>
      <c r="U2" s="738" t="s">
        <v>70</v>
      </c>
      <c r="V2" s="739"/>
      <c r="W2" s="740"/>
      <c r="X2" s="706" t="s">
        <v>9</v>
      </c>
      <c r="Y2" s="707"/>
      <c r="Z2" s="733" t="s">
        <v>10</v>
      </c>
      <c r="AA2" s="734"/>
      <c r="AB2" s="734"/>
      <c r="AC2" s="735"/>
      <c r="AD2" s="708" t="s">
        <v>11</v>
      </c>
      <c r="AE2" s="729" t="s">
        <v>12</v>
      </c>
      <c r="AF2" s="729" t="s">
        <v>13</v>
      </c>
      <c r="AG2" s="692" t="s">
        <v>73</v>
      </c>
      <c r="AH2" s="693"/>
      <c r="AI2" s="686" t="s">
        <v>93</v>
      </c>
      <c r="AJ2" s="687"/>
      <c r="AK2" s="687"/>
      <c r="AL2" s="687"/>
      <c r="AM2" s="688"/>
    </row>
    <row r="3" spans="1:39" ht="30" customHeight="1" thickBot="1" thickTop="1">
      <c r="A3" s="657"/>
      <c r="B3" s="650"/>
      <c r="C3" s="653"/>
      <c r="D3" s="645"/>
      <c r="E3" s="645"/>
      <c r="F3" s="684"/>
      <c r="G3" s="683" t="s">
        <v>14</v>
      </c>
      <c r="H3" s="664" t="s">
        <v>15</v>
      </c>
      <c r="I3" s="660" t="s">
        <v>16</v>
      </c>
      <c r="J3" s="662" t="s">
        <v>17</v>
      </c>
      <c r="K3" s="757" t="s">
        <v>111</v>
      </c>
      <c r="L3" s="758"/>
      <c r="M3" s="759"/>
      <c r="N3" s="750" t="s">
        <v>101</v>
      </c>
      <c r="O3" s="751"/>
      <c r="P3" s="760" t="s">
        <v>20</v>
      </c>
      <c r="Q3" s="755" t="s">
        <v>21</v>
      </c>
      <c r="R3" s="699" t="s">
        <v>70</v>
      </c>
      <c r="S3" s="700"/>
      <c r="T3" s="701"/>
      <c r="U3" s="722" t="s">
        <v>68</v>
      </c>
      <c r="V3" s="741" t="s">
        <v>69</v>
      </c>
      <c r="W3" s="742"/>
      <c r="X3" s="718" t="s">
        <v>22</v>
      </c>
      <c r="Y3" s="720" t="s">
        <v>23</v>
      </c>
      <c r="Z3" s="743" t="s">
        <v>24</v>
      </c>
      <c r="AA3" s="712" t="s">
        <v>25</v>
      </c>
      <c r="AB3" s="715" t="s">
        <v>26</v>
      </c>
      <c r="AC3" s="736" t="s">
        <v>92</v>
      </c>
      <c r="AD3" s="709"/>
      <c r="AE3" s="730"/>
      <c r="AF3" s="730"/>
      <c r="AG3" s="694"/>
      <c r="AH3" s="695"/>
      <c r="AI3" s="689"/>
      <c r="AJ3" s="690"/>
      <c r="AK3" s="690"/>
      <c r="AL3" s="690"/>
      <c r="AM3" s="691"/>
    </row>
    <row r="4" spans="1:39" ht="39" customHeight="1" thickTop="1">
      <c r="A4" s="657"/>
      <c r="B4" s="650"/>
      <c r="C4" s="653"/>
      <c r="D4" s="645"/>
      <c r="E4" s="645"/>
      <c r="F4" s="684"/>
      <c r="G4" s="683"/>
      <c r="H4" s="664"/>
      <c r="I4" s="660"/>
      <c r="J4" s="658"/>
      <c r="K4" s="748" t="s">
        <v>98</v>
      </c>
      <c r="L4" s="762" t="s">
        <v>106</v>
      </c>
      <c r="M4" s="246" t="s">
        <v>99</v>
      </c>
      <c r="N4" s="752" t="s">
        <v>98</v>
      </c>
      <c r="O4" s="254" t="s">
        <v>99</v>
      </c>
      <c r="P4" s="760"/>
      <c r="Q4" s="755"/>
      <c r="R4" s="702" t="s">
        <v>98</v>
      </c>
      <c r="S4" s="704" t="s">
        <v>99</v>
      </c>
      <c r="T4" s="705"/>
      <c r="U4" s="723"/>
      <c r="V4" s="725" t="s">
        <v>98</v>
      </c>
      <c r="W4" s="257" t="s">
        <v>99</v>
      </c>
      <c r="X4" s="718"/>
      <c r="Y4" s="720"/>
      <c r="Z4" s="744"/>
      <c r="AA4" s="713"/>
      <c r="AB4" s="716"/>
      <c r="AC4" s="736"/>
      <c r="AD4" s="710"/>
      <c r="AE4" s="731"/>
      <c r="AF4" s="731"/>
      <c r="AG4" s="766" t="s">
        <v>71</v>
      </c>
      <c r="AH4" s="764" t="s">
        <v>72</v>
      </c>
      <c r="AI4" s="772" t="s">
        <v>94</v>
      </c>
      <c r="AJ4" s="770" t="s">
        <v>128</v>
      </c>
      <c r="AK4" s="770" t="s">
        <v>95</v>
      </c>
      <c r="AL4" s="768" t="s">
        <v>96</v>
      </c>
      <c r="AM4" s="764" t="s">
        <v>97</v>
      </c>
    </row>
    <row r="5" spans="1:39" ht="78" customHeight="1" thickBot="1">
      <c r="A5" s="654"/>
      <c r="B5" s="651"/>
      <c r="C5" s="649"/>
      <c r="D5" s="646"/>
      <c r="E5" s="646"/>
      <c r="F5" s="685"/>
      <c r="G5" s="663"/>
      <c r="H5" s="665"/>
      <c r="I5" s="661"/>
      <c r="J5" s="659"/>
      <c r="K5" s="749"/>
      <c r="L5" s="763"/>
      <c r="M5" s="255" t="s">
        <v>105</v>
      </c>
      <c r="N5" s="717"/>
      <c r="O5" s="256" t="s">
        <v>100</v>
      </c>
      <c r="P5" s="761"/>
      <c r="Q5" s="756"/>
      <c r="R5" s="703"/>
      <c r="S5" s="253" t="s">
        <v>103</v>
      </c>
      <c r="T5" s="256" t="s">
        <v>104</v>
      </c>
      <c r="U5" s="724"/>
      <c r="V5" s="717"/>
      <c r="W5" s="256" t="s">
        <v>104</v>
      </c>
      <c r="X5" s="719"/>
      <c r="Y5" s="721"/>
      <c r="Z5" s="745"/>
      <c r="AA5" s="714"/>
      <c r="AB5" s="717"/>
      <c r="AC5" s="737"/>
      <c r="AD5" s="711"/>
      <c r="AE5" s="732"/>
      <c r="AF5" s="732"/>
      <c r="AG5" s="767"/>
      <c r="AH5" s="765"/>
      <c r="AI5" s="773"/>
      <c r="AJ5" s="774"/>
      <c r="AK5" s="771"/>
      <c r="AL5" s="769"/>
      <c r="AM5" s="765"/>
    </row>
    <row r="6" spans="1:39" ht="15.75" thickBot="1">
      <c r="A6" s="258">
        <v>1</v>
      </c>
      <c r="B6" s="258">
        <v>2</v>
      </c>
      <c r="C6" s="258">
        <v>3</v>
      </c>
      <c r="D6" s="258">
        <v>4</v>
      </c>
      <c r="E6" s="258">
        <v>5</v>
      </c>
      <c r="F6" s="258">
        <v>6</v>
      </c>
      <c r="G6" s="258">
        <v>7</v>
      </c>
      <c r="H6" s="258">
        <v>8</v>
      </c>
      <c r="I6" s="258">
        <v>9</v>
      </c>
      <c r="J6" s="258">
        <v>10</v>
      </c>
      <c r="K6" s="258">
        <v>11</v>
      </c>
      <c r="L6" s="258">
        <v>12</v>
      </c>
      <c r="M6" s="258">
        <v>13</v>
      </c>
      <c r="N6" s="258">
        <v>14</v>
      </c>
      <c r="O6" s="258">
        <v>15</v>
      </c>
      <c r="P6" s="258">
        <v>16</v>
      </c>
      <c r="Q6" s="258">
        <v>17</v>
      </c>
      <c r="R6" s="258">
        <v>18</v>
      </c>
      <c r="S6" s="258">
        <v>19</v>
      </c>
      <c r="T6" s="258">
        <v>20</v>
      </c>
      <c r="U6" s="258">
        <v>21</v>
      </c>
      <c r="V6" s="258">
        <v>22</v>
      </c>
      <c r="W6" s="258">
        <v>23</v>
      </c>
      <c r="X6" s="258">
        <v>24</v>
      </c>
      <c r="Y6" s="258">
        <v>25</v>
      </c>
      <c r="Z6" s="258">
        <v>26</v>
      </c>
      <c r="AA6" s="258">
        <v>27</v>
      </c>
      <c r="AB6" s="258">
        <v>28</v>
      </c>
      <c r="AC6" s="258">
        <v>29</v>
      </c>
      <c r="AD6" s="258">
        <v>30</v>
      </c>
      <c r="AE6" s="258">
        <v>31</v>
      </c>
      <c r="AF6" s="258">
        <v>32</v>
      </c>
      <c r="AG6" s="258">
        <v>33</v>
      </c>
      <c r="AH6" s="258">
        <v>34</v>
      </c>
      <c r="AI6" s="258">
        <v>35</v>
      </c>
      <c r="AJ6" s="258"/>
      <c r="AK6" s="258">
        <v>36</v>
      </c>
      <c r="AL6" s="258">
        <v>37</v>
      </c>
      <c r="AM6" s="259">
        <v>38</v>
      </c>
    </row>
    <row r="7" spans="1:39" ht="15.75" thickTop="1">
      <c r="A7" s="271"/>
      <c r="B7" s="272"/>
      <c r="C7" s="273"/>
      <c r="D7" s="274"/>
      <c r="E7" s="275"/>
      <c r="F7" s="276"/>
      <c r="G7" s="276"/>
      <c r="H7" s="277"/>
      <c r="I7" s="278"/>
      <c r="J7" s="279"/>
      <c r="K7" s="277"/>
      <c r="L7" s="277"/>
      <c r="M7" s="277"/>
      <c r="N7" s="278"/>
      <c r="O7" s="278"/>
      <c r="P7" s="278"/>
      <c r="Q7" s="279"/>
      <c r="R7" s="279"/>
      <c r="S7" s="279"/>
      <c r="T7" s="279"/>
      <c r="U7" s="279"/>
      <c r="V7" s="279"/>
      <c r="W7" s="279"/>
      <c r="X7" s="279"/>
      <c r="Y7" s="279"/>
      <c r="Z7" s="275"/>
      <c r="AA7" s="279"/>
      <c r="AB7" s="279"/>
      <c r="AC7" s="279"/>
      <c r="AD7" s="275"/>
      <c r="AE7" s="275"/>
      <c r="AF7" s="275"/>
      <c r="AG7" s="351"/>
      <c r="AH7" s="352"/>
      <c r="AI7" s="280"/>
      <c r="AJ7" s="16"/>
      <c r="AK7" s="16"/>
      <c r="AL7" s="16"/>
      <c r="AM7" s="353"/>
    </row>
    <row r="8" spans="1:39" ht="12.75">
      <c r="A8" s="327"/>
      <c r="B8" s="281" t="s">
        <v>67</v>
      </c>
      <c r="C8" s="282"/>
      <c r="D8" s="283"/>
      <c r="E8" s="284"/>
      <c r="F8" s="285"/>
      <c r="G8" s="285"/>
      <c r="H8" s="286">
        <f>SUM(H10:H93)-H75-H36</f>
        <v>60032.000903443106</v>
      </c>
      <c r="I8" s="286">
        <f>SUM(I10:I93)</f>
        <v>644216.5949007174</v>
      </c>
      <c r="J8" s="286">
        <f>SUM(J10:J93)-J75-J36</f>
        <v>168341.21</v>
      </c>
      <c r="K8" s="287">
        <f>SUM(K10:K93)-K75-K36</f>
        <v>149910.7800000001</v>
      </c>
      <c r="L8" s="287"/>
      <c r="M8" s="287">
        <f aca="true" t="shared" si="0" ref="M8:W8">SUM(M10:M93)-M75-M36</f>
        <v>19280.34</v>
      </c>
      <c r="N8" s="288">
        <f t="shared" si="0"/>
        <v>3341</v>
      </c>
      <c r="O8" s="288">
        <f t="shared" si="0"/>
        <v>468</v>
      </c>
      <c r="P8" s="288">
        <f t="shared" si="0"/>
        <v>227</v>
      </c>
      <c r="Q8" s="286">
        <f t="shared" si="0"/>
        <v>16541.5</v>
      </c>
      <c r="R8" s="287">
        <f t="shared" si="0"/>
        <v>2083.4300000000003</v>
      </c>
      <c r="S8" s="286">
        <f t="shared" si="0"/>
        <v>850</v>
      </c>
      <c r="T8" s="287">
        <f t="shared" si="0"/>
        <v>1233.43</v>
      </c>
      <c r="U8" s="289">
        <f t="shared" si="0"/>
        <v>8888.999999999998</v>
      </c>
      <c r="V8" s="289">
        <f t="shared" si="0"/>
        <v>30739.826999999997</v>
      </c>
      <c r="W8" s="289">
        <f t="shared" si="0"/>
        <v>193</v>
      </c>
      <c r="X8" s="286"/>
      <c r="Y8" s="286"/>
      <c r="Z8" s="284"/>
      <c r="AA8" s="286"/>
      <c r="AB8" s="286"/>
      <c r="AC8" s="286"/>
      <c r="AD8" s="284"/>
      <c r="AE8" s="284"/>
      <c r="AF8" s="284"/>
      <c r="AG8" s="289">
        <f>SUM(AG10:AG93)-AG75-AG36</f>
        <v>40610</v>
      </c>
      <c r="AH8" s="289">
        <f>SUM(AH10:AH93)-AH75-AH36</f>
        <v>30478</v>
      </c>
      <c r="AI8" s="290">
        <v>9.24</v>
      </c>
      <c r="AJ8" s="290"/>
      <c r="AK8" s="291">
        <v>1.02</v>
      </c>
      <c r="AL8" s="291">
        <v>7.1</v>
      </c>
      <c r="AM8" s="328">
        <v>10.59</v>
      </c>
    </row>
    <row r="9" spans="1:39" ht="15">
      <c r="A9" s="329"/>
      <c r="B9" s="293"/>
      <c r="C9" s="294"/>
      <c r="D9" s="295"/>
      <c r="E9" s="296"/>
      <c r="F9" s="297"/>
      <c r="G9" s="297"/>
      <c r="H9" s="298"/>
      <c r="I9" s="299"/>
      <c r="J9" s="300"/>
      <c r="K9" s="354"/>
      <c r="L9" s="354"/>
      <c r="M9" s="301"/>
      <c r="N9" s="299"/>
      <c r="O9" s="299"/>
      <c r="P9" s="299"/>
      <c r="Q9" s="300"/>
      <c r="R9" s="302"/>
      <c r="S9" s="302"/>
      <c r="T9" s="302"/>
      <c r="U9" s="302"/>
      <c r="V9" s="302"/>
      <c r="W9" s="302"/>
      <c r="X9" s="300"/>
      <c r="Y9" s="300"/>
      <c r="Z9" s="296"/>
      <c r="AA9" s="300"/>
      <c r="AB9" s="300"/>
      <c r="AC9" s="300"/>
      <c r="AD9" s="296"/>
      <c r="AE9" s="296"/>
      <c r="AF9" s="296"/>
      <c r="AG9" s="355"/>
      <c r="AH9" s="355"/>
      <c r="AI9" s="303"/>
      <c r="AJ9" s="303"/>
      <c r="AK9" s="303"/>
      <c r="AL9" s="303"/>
      <c r="AM9" s="330"/>
    </row>
    <row r="10" spans="1:39" s="433" customFormat="1" ht="15">
      <c r="A10" s="419">
        <v>1</v>
      </c>
      <c r="B10" s="420" t="s">
        <v>27</v>
      </c>
      <c r="C10" s="421">
        <v>2</v>
      </c>
      <c r="D10" s="422">
        <v>1968</v>
      </c>
      <c r="E10" s="422" t="s">
        <v>28</v>
      </c>
      <c r="F10" s="423">
        <v>5</v>
      </c>
      <c r="G10" s="422" t="s">
        <v>29</v>
      </c>
      <c r="H10" s="424">
        <f aca="true" t="shared" si="1" ref="H10:H15">J10*1110/2836.5</f>
        <v>1345.6181914331041</v>
      </c>
      <c r="I10" s="424">
        <v>13698</v>
      </c>
      <c r="J10" s="424">
        <f aca="true" t="shared" si="2" ref="J10:J26">K10+Q10+R10</f>
        <v>3438.6</v>
      </c>
      <c r="K10" s="425">
        <v>3116.7</v>
      </c>
      <c r="L10" s="425"/>
      <c r="M10" s="426">
        <v>103.4</v>
      </c>
      <c r="N10" s="427">
        <v>78</v>
      </c>
      <c r="O10" s="427">
        <v>3</v>
      </c>
      <c r="P10" s="423">
        <v>4</v>
      </c>
      <c r="Q10" s="424">
        <v>245.6</v>
      </c>
      <c r="R10" s="424">
        <f aca="true" t="shared" si="3" ref="R10:R26">SUM(S10:T10)</f>
        <v>76.3</v>
      </c>
      <c r="S10" s="424">
        <v>76.3</v>
      </c>
      <c r="T10" s="424"/>
      <c r="U10" s="424"/>
      <c r="V10" s="424"/>
      <c r="W10" s="424"/>
      <c r="X10" s="428" t="s">
        <v>30</v>
      </c>
      <c r="Y10" s="428" t="s">
        <v>31</v>
      </c>
      <c r="Z10" s="429" t="s">
        <v>32</v>
      </c>
      <c r="AA10" s="429" t="s">
        <v>32</v>
      </c>
      <c r="AB10" s="429" t="s">
        <v>32</v>
      </c>
      <c r="AC10" s="429" t="s">
        <v>32</v>
      </c>
      <c r="AD10" s="422" t="s">
        <v>33</v>
      </c>
      <c r="AE10" s="422" t="s">
        <v>34</v>
      </c>
      <c r="AF10" s="422" t="s">
        <v>35</v>
      </c>
      <c r="AG10" s="430">
        <v>662</v>
      </c>
      <c r="AH10" s="430">
        <v>336</v>
      </c>
      <c r="AI10" s="431">
        <v>9.55</v>
      </c>
      <c r="AJ10" s="431">
        <v>2</v>
      </c>
      <c r="AK10" s="420">
        <f aca="true" t="shared" si="4" ref="AK10:AK26">AK$8</f>
        <v>1.02</v>
      </c>
      <c r="AL10" s="420"/>
      <c r="AM10" s="432">
        <f aca="true" t="shared" si="5" ref="AM10:AM26">SUM(AI10:AL10)</f>
        <v>12.57</v>
      </c>
    </row>
    <row r="11" spans="1:39" s="450" customFormat="1" ht="15">
      <c r="A11" s="437">
        <v>2</v>
      </c>
      <c r="B11" s="438"/>
      <c r="C11" s="439">
        <v>3</v>
      </c>
      <c r="D11" s="323">
        <v>1966</v>
      </c>
      <c r="E11" s="323" t="s">
        <v>28</v>
      </c>
      <c r="F11" s="323">
        <v>5</v>
      </c>
      <c r="G11" s="323" t="s">
        <v>29</v>
      </c>
      <c r="H11" s="440">
        <f t="shared" si="1"/>
        <v>1337.5568482284505</v>
      </c>
      <c r="I11" s="440">
        <v>13561</v>
      </c>
      <c r="J11" s="440">
        <f t="shared" si="2"/>
        <v>3418</v>
      </c>
      <c r="K11" s="441">
        <f>3174-R11</f>
        <v>3097.7</v>
      </c>
      <c r="L11" s="441"/>
      <c r="M11" s="442">
        <v>300.7</v>
      </c>
      <c r="N11" s="443">
        <v>78</v>
      </c>
      <c r="O11" s="439">
        <v>7</v>
      </c>
      <c r="P11" s="323">
        <v>4</v>
      </c>
      <c r="Q11" s="440">
        <v>244</v>
      </c>
      <c r="R11" s="440">
        <f t="shared" si="3"/>
        <v>76.3</v>
      </c>
      <c r="S11" s="440"/>
      <c r="T11" s="440">
        <v>76.3</v>
      </c>
      <c r="U11" s="440"/>
      <c r="V11" s="440">
        <v>597.4</v>
      </c>
      <c r="W11" s="440"/>
      <c r="X11" s="444" t="s">
        <v>30</v>
      </c>
      <c r="Y11" s="444" t="s">
        <v>31</v>
      </c>
      <c r="Z11" s="445" t="s">
        <v>32</v>
      </c>
      <c r="AA11" s="445" t="s">
        <v>32</v>
      </c>
      <c r="AB11" s="445" t="s">
        <v>32</v>
      </c>
      <c r="AC11" s="445" t="s">
        <v>32</v>
      </c>
      <c r="AD11" s="323" t="s">
        <v>33</v>
      </c>
      <c r="AE11" s="323" t="s">
        <v>34</v>
      </c>
      <c r="AF11" s="323" t="s">
        <v>35</v>
      </c>
      <c r="AG11" s="446">
        <v>684</v>
      </c>
      <c r="AH11" s="446">
        <v>442</v>
      </c>
      <c r="AI11" s="447">
        <v>10.31</v>
      </c>
      <c r="AJ11" s="447">
        <v>2.78</v>
      </c>
      <c r="AK11" s="448">
        <f t="shared" si="4"/>
        <v>1.02</v>
      </c>
      <c r="AL11" s="448"/>
      <c r="AM11" s="449">
        <f t="shared" si="5"/>
        <v>14.11</v>
      </c>
    </row>
    <row r="12" spans="1:39" s="450" customFormat="1" ht="15">
      <c r="A12" s="437">
        <v>3</v>
      </c>
      <c r="B12" s="438"/>
      <c r="C12" s="439">
        <v>6</v>
      </c>
      <c r="D12" s="323">
        <v>1966</v>
      </c>
      <c r="E12" s="323" t="s">
        <v>28</v>
      </c>
      <c r="F12" s="323">
        <v>5</v>
      </c>
      <c r="G12" s="323" t="s">
        <v>29</v>
      </c>
      <c r="H12" s="440">
        <f t="shared" si="1"/>
        <v>1372.071919619249</v>
      </c>
      <c r="I12" s="440">
        <v>13444</v>
      </c>
      <c r="J12" s="440">
        <f t="shared" si="2"/>
        <v>3506.2</v>
      </c>
      <c r="K12" s="441">
        <v>2541.5</v>
      </c>
      <c r="L12" s="441"/>
      <c r="M12" s="442">
        <v>161.7</v>
      </c>
      <c r="N12" s="443">
        <v>64</v>
      </c>
      <c r="O12" s="439">
        <v>4</v>
      </c>
      <c r="P12" s="323">
        <v>4</v>
      </c>
      <c r="Q12" s="440">
        <v>256.5</v>
      </c>
      <c r="R12" s="440">
        <f t="shared" si="3"/>
        <v>708.2</v>
      </c>
      <c r="S12" s="440">
        <f>138.6+417.6+72</f>
        <v>628.2</v>
      </c>
      <c r="T12" s="440">
        <f>80</f>
        <v>80</v>
      </c>
      <c r="U12" s="440"/>
      <c r="V12" s="440"/>
      <c r="W12" s="440"/>
      <c r="X12" s="444" t="s">
        <v>30</v>
      </c>
      <c r="Y12" s="444" t="s">
        <v>31</v>
      </c>
      <c r="Z12" s="445" t="s">
        <v>32</v>
      </c>
      <c r="AA12" s="445" t="s">
        <v>32</v>
      </c>
      <c r="AB12" s="445" t="s">
        <v>32</v>
      </c>
      <c r="AC12" s="445" t="s">
        <v>32</v>
      </c>
      <c r="AD12" s="323" t="s">
        <v>33</v>
      </c>
      <c r="AE12" s="323" t="s">
        <v>34</v>
      </c>
      <c r="AF12" s="323" t="s">
        <v>35</v>
      </c>
      <c r="AG12" s="446">
        <v>1045</v>
      </c>
      <c r="AH12" s="446">
        <v>305</v>
      </c>
      <c r="AI12" s="447">
        <v>10.2</v>
      </c>
      <c r="AJ12" s="447">
        <v>2.78</v>
      </c>
      <c r="AK12" s="448">
        <f t="shared" si="4"/>
        <v>1.02</v>
      </c>
      <c r="AL12" s="448"/>
      <c r="AM12" s="449">
        <f t="shared" si="5"/>
        <v>13.999999999999998</v>
      </c>
    </row>
    <row r="13" spans="1:39" s="433" customFormat="1" ht="15">
      <c r="A13" s="419">
        <v>4</v>
      </c>
      <c r="B13" s="434"/>
      <c r="C13" s="421">
        <v>7</v>
      </c>
      <c r="D13" s="422">
        <v>1967</v>
      </c>
      <c r="E13" s="422" t="s">
        <v>28</v>
      </c>
      <c r="F13" s="422">
        <v>5</v>
      </c>
      <c r="G13" s="422" t="s">
        <v>29</v>
      </c>
      <c r="H13" s="424">
        <f t="shared" si="1"/>
        <v>1337.5568482284505</v>
      </c>
      <c r="I13" s="424">
        <v>13347</v>
      </c>
      <c r="J13" s="424">
        <f t="shared" si="2"/>
        <v>3418</v>
      </c>
      <c r="K13" s="425">
        <f>3367.8-R13-W13</f>
        <v>3103.3</v>
      </c>
      <c r="L13" s="425"/>
      <c r="M13" s="426">
        <v>384</v>
      </c>
      <c r="N13" s="427">
        <v>78</v>
      </c>
      <c r="O13" s="421">
        <v>9</v>
      </c>
      <c r="P13" s="422">
        <v>4</v>
      </c>
      <c r="Q13" s="424">
        <v>243.2</v>
      </c>
      <c r="R13" s="424">
        <f t="shared" si="3"/>
        <v>71.5</v>
      </c>
      <c r="S13" s="466"/>
      <c r="T13" s="424">
        <f>71.5+99.5+44.8+48.7-W13</f>
        <v>71.5</v>
      </c>
      <c r="U13" s="424"/>
      <c r="V13" s="424">
        <v>588.3</v>
      </c>
      <c r="W13" s="424">
        <f>99.5+44.8+48.7</f>
        <v>193</v>
      </c>
      <c r="X13" s="428" t="s">
        <v>30</v>
      </c>
      <c r="Y13" s="428" t="s">
        <v>31</v>
      </c>
      <c r="Z13" s="429" t="s">
        <v>32</v>
      </c>
      <c r="AA13" s="429" t="s">
        <v>32</v>
      </c>
      <c r="AB13" s="429" t="s">
        <v>32</v>
      </c>
      <c r="AC13" s="429" t="s">
        <v>32</v>
      </c>
      <c r="AD13" s="422" t="s">
        <v>33</v>
      </c>
      <c r="AE13" s="422" t="s">
        <v>34</v>
      </c>
      <c r="AF13" s="422" t="s">
        <v>35</v>
      </c>
      <c r="AG13" s="430">
        <v>835</v>
      </c>
      <c r="AH13" s="430">
        <v>314</v>
      </c>
      <c r="AI13" s="431">
        <v>9.61</v>
      </c>
      <c r="AJ13" s="431"/>
      <c r="AK13" s="420">
        <f t="shared" si="4"/>
        <v>1.02</v>
      </c>
      <c r="AL13" s="420"/>
      <c r="AM13" s="432">
        <f t="shared" si="5"/>
        <v>10.629999999999999</v>
      </c>
    </row>
    <row r="14" spans="1:39" s="358" customFormat="1" ht="15">
      <c r="A14" s="331">
        <v>5</v>
      </c>
      <c r="B14" s="292"/>
      <c r="C14" s="294">
        <v>8</v>
      </c>
      <c r="D14" s="296">
        <v>1999</v>
      </c>
      <c r="E14" s="296" t="s">
        <v>28</v>
      </c>
      <c r="F14" s="296">
        <v>6</v>
      </c>
      <c r="G14" s="296" t="s">
        <v>36</v>
      </c>
      <c r="H14" s="302">
        <f t="shared" si="1"/>
        <v>730.7646747752511</v>
      </c>
      <c r="I14" s="302">
        <v>8076</v>
      </c>
      <c r="J14" s="302">
        <f t="shared" si="2"/>
        <v>1867.3999999999999</v>
      </c>
      <c r="K14" s="395">
        <f>1646.8-R14</f>
        <v>1646.8</v>
      </c>
      <c r="L14" s="356"/>
      <c r="M14" s="304">
        <v>0</v>
      </c>
      <c r="N14" s="299">
        <v>36</v>
      </c>
      <c r="O14" s="294">
        <v>0</v>
      </c>
      <c r="P14" s="296">
        <v>2</v>
      </c>
      <c r="Q14" s="302">
        <v>220.6</v>
      </c>
      <c r="R14" s="302">
        <f t="shared" si="3"/>
        <v>0</v>
      </c>
      <c r="S14" s="302"/>
      <c r="T14" s="302"/>
      <c r="U14" s="302"/>
      <c r="V14" s="302">
        <v>317.3</v>
      </c>
      <c r="W14" s="302"/>
      <c r="X14" s="300" t="s">
        <v>30</v>
      </c>
      <c r="Y14" s="307" t="s">
        <v>37</v>
      </c>
      <c r="Z14" s="305" t="s">
        <v>32</v>
      </c>
      <c r="AA14" s="305" t="s">
        <v>32</v>
      </c>
      <c r="AB14" s="305" t="s">
        <v>32</v>
      </c>
      <c r="AC14" s="305" t="s">
        <v>32</v>
      </c>
      <c r="AD14" s="296" t="s">
        <v>33</v>
      </c>
      <c r="AE14" s="296" t="s">
        <v>34</v>
      </c>
      <c r="AF14" s="296" t="s">
        <v>35</v>
      </c>
      <c r="AG14" s="357">
        <v>239</v>
      </c>
      <c r="AH14" s="357">
        <v>164</v>
      </c>
      <c r="AI14" s="306">
        <v>10.02</v>
      </c>
      <c r="AJ14" s="306"/>
      <c r="AK14" s="303">
        <v>1.67</v>
      </c>
      <c r="AL14" s="293"/>
      <c r="AM14" s="332">
        <f t="shared" si="5"/>
        <v>11.69</v>
      </c>
    </row>
    <row r="15" spans="1:39" s="450" customFormat="1" ht="15">
      <c r="A15" s="437">
        <v>6</v>
      </c>
      <c r="B15" s="438"/>
      <c r="C15" s="439">
        <v>9</v>
      </c>
      <c r="D15" s="323">
        <v>1967</v>
      </c>
      <c r="E15" s="323" t="s">
        <v>28</v>
      </c>
      <c r="F15" s="323">
        <v>5</v>
      </c>
      <c r="G15" s="323" t="s">
        <v>38</v>
      </c>
      <c r="H15" s="440">
        <f t="shared" si="1"/>
        <v>1336.500264410365</v>
      </c>
      <c r="I15" s="440">
        <v>12874</v>
      </c>
      <c r="J15" s="440">
        <f t="shared" si="2"/>
        <v>3415.3</v>
      </c>
      <c r="K15" s="441">
        <f>3175.3-R15</f>
        <v>3102.5</v>
      </c>
      <c r="L15" s="441"/>
      <c r="M15" s="442">
        <v>288.6</v>
      </c>
      <c r="N15" s="443">
        <v>78</v>
      </c>
      <c r="O15" s="439">
        <v>8</v>
      </c>
      <c r="P15" s="323">
        <v>4</v>
      </c>
      <c r="Q15" s="440">
        <v>240</v>
      </c>
      <c r="R15" s="440">
        <f t="shared" si="3"/>
        <v>72.8</v>
      </c>
      <c r="S15" s="440">
        <v>72.8</v>
      </c>
      <c r="T15" s="440"/>
      <c r="U15" s="440"/>
      <c r="V15" s="440"/>
      <c r="W15" s="440"/>
      <c r="X15" s="444" t="s">
        <v>30</v>
      </c>
      <c r="Y15" s="444" t="s">
        <v>31</v>
      </c>
      <c r="Z15" s="445" t="s">
        <v>32</v>
      </c>
      <c r="AA15" s="445" t="s">
        <v>32</v>
      </c>
      <c r="AB15" s="445" t="s">
        <v>32</v>
      </c>
      <c r="AC15" s="445" t="s">
        <v>32</v>
      </c>
      <c r="AD15" s="323" t="s">
        <v>33</v>
      </c>
      <c r="AE15" s="323" t="s">
        <v>34</v>
      </c>
      <c r="AF15" s="323" t="s">
        <v>35</v>
      </c>
      <c r="AG15" s="446">
        <v>1353</v>
      </c>
      <c r="AH15" s="446">
        <v>837</v>
      </c>
      <c r="AI15" s="447">
        <v>10.2</v>
      </c>
      <c r="AJ15" s="447">
        <v>2.78</v>
      </c>
      <c r="AK15" s="448">
        <f t="shared" si="4"/>
        <v>1.02</v>
      </c>
      <c r="AL15" s="448"/>
      <c r="AM15" s="449">
        <f t="shared" si="5"/>
        <v>13.999999999999998</v>
      </c>
    </row>
    <row r="16" spans="1:39" s="450" customFormat="1" ht="15">
      <c r="A16" s="437">
        <v>7</v>
      </c>
      <c r="B16" s="438"/>
      <c r="C16" s="439">
        <v>10</v>
      </c>
      <c r="D16" s="323">
        <v>1995</v>
      </c>
      <c r="E16" s="323" t="s">
        <v>28</v>
      </c>
      <c r="F16" s="323">
        <v>5</v>
      </c>
      <c r="G16" s="323" t="s">
        <v>38</v>
      </c>
      <c r="H16" s="440">
        <f>V16</f>
        <v>313.2</v>
      </c>
      <c r="I16" s="440">
        <v>5849</v>
      </c>
      <c r="J16" s="440">
        <f t="shared" si="2"/>
        <v>1533.1000000000001</v>
      </c>
      <c r="K16" s="441">
        <f>1364.9-R16</f>
        <v>1364.9</v>
      </c>
      <c r="L16" s="441"/>
      <c r="M16" s="442">
        <v>171.9</v>
      </c>
      <c r="N16" s="443">
        <v>30</v>
      </c>
      <c r="O16" s="439">
        <v>4</v>
      </c>
      <c r="P16" s="323">
        <v>2</v>
      </c>
      <c r="Q16" s="440">
        <v>168.2</v>
      </c>
      <c r="R16" s="440">
        <f t="shared" si="3"/>
        <v>0</v>
      </c>
      <c r="S16" s="440"/>
      <c r="T16" s="440"/>
      <c r="U16" s="440">
        <v>320.3</v>
      </c>
      <c r="V16" s="440">
        <v>313.2</v>
      </c>
      <c r="W16" s="440"/>
      <c r="X16" s="444" t="s">
        <v>30</v>
      </c>
      <c r="Y16" s="444" t="s">
        <v>37</v>
      </c>
      <c r="Z16" s="445" t="s">
        <v>32</v>
      </c>
      <c r="AA16" s="445" t="s">
        <v>32</v>
      </c>
      <c r="AB16" s="445" t="s">
        <v>32</v>
      </c>
      <c r="AC16" s="445" t="s">
        <v>32</v>
      </c>
      <c r="AD16" s="323" t="s">
        <v>33</v>
      </c>
      <c r="AE16" s="323" t="s">
        <v>34</v>
      </c>
      <c r="AF16" s="323" t="s">
        <v>35</v>
      </c>
      <c r="AG16" s="446">
        <v>1353</v>
      </c>
      <c r="AH16" s="446">
        <v>837</v>
      </c>
      <c r="AI16" s="447">
        <v>11.22</v>
      </c>
      <c r="AJ16" s="447">
        <v>2.78</v>
      </c>
      <c r="AK16" s="448">
        <f t="shared" si="4"/>
        <v>1.02</v>
      </c>
      <c r="AL16" s="448"/>
      <c r="AM16" s="449">
        <f t="shared" si="5"/>
        <v>15.02</v>
      </c>
    </row>
    <row r="17" spans="1:39" s="433" customFormat="1" ht="15">
      <c r="A17" s="419">
        <v>8</v>
      </c>
      <c r="B17" s="434"/>
      <c r="C17" s="421">
        <v>14</v>
      </c>
      <c r="D17" s="422">
        <v>1963</v>
      </c>
      <c r="E17" s="422" t="s">
        <v>28</v>
      </c>
      <c r="F17" s="422">
        <v>5</v>
      </c>
      <c r="G17" s="422" t="s">
        <v>29</v>
      </c>
      <c r="H17" s="424">
        <f aca="true" t="shared" si="6" ref="H17:H23">J17*1110/2836.5</f>
        <v>1323.2577472236912</v>
      </c>
      <c r="I17" s="424">
        <v>13444.7</v>
      </c>
      <c r="J17" s="424">
        <f t="shared" si="2"/>
        <v>3381.46</v>
      </c>
      <c r="K17" s="425">
        <f>3137.46-R17</f>
        <v>2989.76</v>
      </c>
      <c r="L17" s="425"/>
      <c r="M17" s="426">
        <v>88.1</v>
      </c>
      <c r="N17" s="427">
        <v>75</v>
      </c>
      <c r="O17" s="421">
        <v>2</v>
      </c>
      <c r="P17" s="422">
        <v>4</v>
      </c>
      <c r="Q17" s="424">
        <v>244</v>
      </c>
      <c r="R17" s="424">
        <f t="shared" si="3"/>
        <v>147.7</v>
      </c>
      <c r="S17" s="424"/>
      <c r="T17" s="424">
        <v>147.7</v>
      </c>
      <c r="U17" s="424"/>
      <c r="V17" s="424">
        <v>673.9</v>
      </c>
      <c r="W17" s="424"/>
      <c r="X17" s="428" t="s">
        <v>30</v>
      </c>
      <c r="Y17" s="428" t="s">
        <v>31</v>
      </c>
      <c r="Z17" s="429" t="s">
        <v>32</v>
      </c>
      <c r="AA17" s="429" t="s">
        <v>32</v>
      </c>
      <c r="AB17" s="429" t="s">
        <v>32</v>
      </c>
      <c r="AC17" s="429" t="s">
        <v>32</v>
      </c>
      <c r="AD17" s="422" t="s">
        <v>33</v>
      </c>
      <c r="AE17" s="422" t="s">
        <v>34</v>
      </c>
      <c r="AF17" s="422" t="s">
        <v>35</v>
      </c>
      <c r="AG17" s="430">
        <v>633</v>
      </c>
      <c r="AH17" s="430">
        <v>1271</v>
      </c>
      <c r="AI17" s="431">
        <v>9.49</v>
      </c>
      <c r="AJ17" s="431"/>
      <c r="AK17" s="420">
        <f t="shared" si="4"/>
        <v>1.02</v>
      </c>
      <c r="AL17" s="420"/>
      <c r="AM17" s="432">
        <f t="shared" si="5"/>
        <v>10.51</v>
      </c>
    </row>
    <row r="18" spans="1:39" s="358" customFormat="1" ht="15">
      <c r="A18" s="331">
        <v>9</v>
      </c>
      <c r="B18" s="292"/>
      <c r="C18" s="294">
        <v>16</v>
      </c>
      <c r="D18" s="296">
        <v>1963</v>
      </c>
      <c r="E18" s="296" t="s">
        <v>28</v>
      </c>
      <c r="F18" s="296">
        <v>5</v>
      </c>
      <c r="G18" s="296" t="s">
        <v>29</v>
      </c>
      <c r="H18" s="302">
        <f t="shared" si="6"/>
        <v>1342.409307244844</v>
      </c>
      <c r="I18" s="302">
        <v>13465</v>
      </c>
      <c r="J18" s="302">
        <f t="shared" si="2"/>
        <v>3430.4</v>
      </c>
      <c r="K18" s="395">
        <f>3182.4-R18</f>
        <v>3182.4</v>
      </c>
      <c r="L18" s="356"/>
      <c r="M18" s="304">
        <v>317.1</v>
      </c>
      <c r="N18" s="299">
        <v>80</v>
      </c>
      <c r="O18" s="294">
        <v>8</v>
      </c>
      <c r="P18" s="296">
        <v>4</v>
      </c>
      <c r="Q18" s="302">
        <v>248</v>
      </c>
      <c r="R18" s="302">
        <f t="shared" si="3"/>
        <v>0</v>
      </c>
      <c r="S18" s="302"/>
      <c r="T18" s="302"/>
      <c r="U18" s="302"/>
      <c r="V18" s="302">
        <v>868.7</v>
      </c>
      <c r="W18" s="302"/>
      <c r="X18" s="300" t="s">
        <v>30</v>
      </c>
      <c r="Y18" s="300" t="s">
        <v>31</v>
      </c>
      <c r="Z18" s="305" t="s">
        <v>32</v>
      </c>
      <c r="AA18" s="305" t="s">
        <v>32</v>
      </c>
      <c r="AB18" s="305" t="s">
        <v>32</v>
      </c>
      <c r="AC18" s="305" t="s">
        <v>32</v>
      </c>
      <c r="AD18" s="296" t="s">
        <v>33</v>
      </c>
      <c r="AE18" s="296" t="s">
        <v>34</v>
      </c>
      <c r="AF18" s="296" t="s">
        <v>35</v>
      </c>
      <c r="AG18" s="357">
        <v>547</v>
      </c>
      <c r="AH18" s="357">
        <v>965</v>
      </c>
      <c r="AI18" s="306">
        <v>9.17</v>
      </c>
      <c r="AJ18" s="306"/>
      <c r="AK18" s="303">
        <f t="shared" si="4"/>
        <v>1.02</v>
      </c>
      <c r="AL18" s="293"/>
      <c r="AM18" s="332">
        <f t="shared" si="5"/>
        <v>10.19</v>
      </c>
    </row>
    <row r="19" spans="1:39" s="465" customFormat="1" ht="15">
      <c r="A19" s="451">
        <v>10</v>
      </c>
      <c r="B19" s="452"/>
      <c r="C19" s="453">
        <v>17</v>
      </c>
      <c r="D19" s="454">
        <v>1963</v>
      </c>
      <c r="E19" s="454" t="s">
        <v>28</v>
      </c>
      <c r="F19" s="454">
        <v>5</v>
      </c>
      <c r="G19" s="454" t="s">
        <v>29</v>
      </c>
      <c r="H19" s="455">
        <f t="shared" si="6"/>
        <v>1356.4970914859862</v>
      </c>
      <c r="I19" s="455">
        <v>13400</v>
      </c>
      <c r="J19" s="455">
        <f t="shared" si="2"/>
        <v>3466.4</v>
      </c>
      <c r="K19" s="456">
        <f>3226.4-R19</f>
        <v>3193.4</v>
      </c>
      <c r="L19" s="456"/>
      <c r="M19" s="457">
        <v>408.8</v>
      </c>
      <c r="N19" s="458">
        <v>80</v>
      </c>
      <c r="O19" s="453">
        <v>10</v>
      </c>
      <c r="P19" s="454">
        <v>4</v>
      </c>
      <c r="Q19" s="455">
        <v>240</v>
      </c>
      <c r="R19" s="455">
        <f t="shared" si="3"/>
        <v>33</v>
      </c>
      <c r="S19" s="455"/>
      <c r="T19" s="455">
        <v>33</v>
      </c>
      <c r="U19" s="455"/>
      <c r="V19" s="455">
        <v>679.1</v>
      </c>
      <c r="W19" s="455"/>
      <c r="X19" s="459" t="s">
        <v>30</v>
      </c>
      <c r="Y19" s="459" t="s">
        <v>31</v>
      </c>
      <c r="Z19" s="460" t="s">
        <v>32</v>
      </c>
      <c r="AA19" s="460" t="s">
        <v>32</v>
      </c>
      <c r="AB19" s="460" t="s">
        <v>32</v>
      </c>
      <c r="AC19" s="460" t="s">
        <v>32</v>
      </c>
      <c r="AD19" s="454" t="s">
        <v>33</v>
      </c>
      <c r="AE19" s="454" t="s">
        <v>34</v>
      </c>
      <c r="AF19" s="454" t="s">
        <v>35</v>
      </c>
      <c r="AG19" s="461">
        <v>546</v>
      </c>
      <c r="AH19" s="461">
        <v>998</v>
      </c>
      <c r="AI19" s="462">
        <v>9.17</v>
      </c>
      <c r="AJ19" s="462"/>
      <c r="AK19" s="463">
        <f t="shared" si="4"/>
        <v>1.02</v>
      </c>
      <c r="AL19" s="463"/>
      <c r="AM19" s="464">
        <f t="shared" si="5"/>
        <v>10.19</v>
      </c>
    </row>
    <row r="20" spans="1:39" s="450" customFormat="1" ht="15">
      <c r="A20" s="437">
        <v>11</v>
      </c>
      <c r="B20" s="438"/>
      <c r="C20" s="439">
        <v>18</v>
      </c>
      <c r="D20" s="323">
        <v>1965</v>
      </c>
      <c r="E20" s="323" t="s">
        <v>28</v>
      </c>
      <c r="F20" s="323">
        <v>5</v>
      </c>
      <c r="G20" s="323" t="s">
        <v>29</v>
      </c>
      <c r="H20" s="440">
        <f t="shared" si="6"/>
        <v>1335.5610787942887</v>
      </c>
      <c r="I20" s="440">
        <v>13678</v>
      </c>
      <c r="J20" s="440">
        <f t="shared" si="2"/>
        <v>3412.9</v>
      </c>
      <c r="K20" s="441">
        <f>3166.9-R20</f>
        <v>3166.9</v>
      </c>
      <c r="L20" s="441"/>
      <c r="M20" s="442">
        <v>200</v>
      </c>
      <c r="N20" s="443">
        <v>80</v>
      </c>
      <c r="O20" s="439">
        <v>5</v>
      </c>
      <c r="P20" s="323">
        <v>4</v>
      </c>
      <c r="Q20" s="440">
        <v>246</v>
      </c>
      <c r="R20" s="440">
        <f t="shared" si="3"/>
        <v>0</v>
      </c>
      <c r="S20" s="440"/>
      <c r="T20" s="440"/>
      <c r="U20" s="440"/>
      <c r="V20" s="440">
        <v>679.3</v>
      </c>
      <c r="W20" s="440"/>
      <c r="X20" s="444" t="s">
        <v>30</v>
      </c>
      <c r="Y20" s="444" t="s">
        <v>31</v>
      </c>
      <c r="Z20" s="445" t="s">
        <v>32</v>
      </c>
      <c r="AA20" s="445" t="s">
        <v>32</v>
      </c>
      <c r="AB20" s="445" t="s">
        <v>32</v>
      </c>
      <c r="AC20" s="445" t="s">
        <v>32</v>
      </c>
      <c r="AD20" s="323" t="s">
        <v>33</v>
      </c>
      <c r="AE20" s="323" t="s">
        <v>34</v>
      </c>
      <c r="AF20" s="323" t="s">
        <v>35</v>
      </c>
      <c r="AG20" s="446">
        <v>553</v>
      </c>
      <c r="AH20" s="446">
        <v>966</v>
      </c>
      <c r="AI20" s="447">
        <v>10.31</v>
      </c>
      <c r="AJ20" s="447">
        <v>2.78</v>
      </c>
      <c r="AK20" s="448">
        <f t="shared" si="4"/>
        <v>1.02</v>
      </c>
      <c r="AL20" s="448"/>
      <c r="AM20" s="449">
        <f t="shared" si="5"/>
        <v>14.11</v>
      </c>
    </row>
    <row r="21" spans="1:39" s="450" customFormat="1" ht="15">
      <c r="A21" s="437">
        <v>12</v>
      </c>
      <c r="B21" s="438"/>
      <c r="C21" s="439">
        <v>19</v>
      </c>
      <c r="D21" s="323">
        <v>1966</v>
      </c>
      <c r="E21" s="323" t="s">
        <v>28</v>
      </c>
      <c r="F21" s="323">
        <v>5</v>
      </c>
      <c r="G21" s="323" t="s">
        <v>29</v>
      </c>
      <c r="H21" s="440">
        <f t="shared" si="6"/>
        <v>1345.3833950290852</v>
      </c>
      <c r="I21" s="440">
        <v>13619</v>
      </c>
      <c r="J21" s="440">
        <f t="shared" si="2"/>
        <v>3438</v>
      </c>
      <c r="K21" s="441">
        <f>3192-R21</f>
        <v>3192</v>
      </c>
      <c r="L21" s="441"/>
      <c r="M21" s="442">
        <v>325.1</v>
      </c>
      <c r="N21" s="443">
        <v>80</v>
      </c>
      <c r="O21" s="439">
        <v>9</v>
      </c>
      <c r="P21" s="323">
        <v>4</v>
      </c>
      <c r="Q21" s="440">
        <v>246</v>
      </c>
      <c r="R21" s="440">
        <f t="shared" si="3"/>
        <v>0</v>
      </c>
      <c r="S21" s="440"/>
      <c r="T21" s="440"/>
      <c r="U21" s="440"/>
      <c r="V21" s="440">
        <v>679.3</v>
      </c>
      <c r="W21" s="440"/>
      <c r="X21" s="444" t="s">
        <v>30</v>
      </c>
      <c r="Y21" s="444" t="s">
        <v>31</v>
      </c>
      <c r="Z21" s="445" t="s">
        <v>32</v>
      </c>
      <c r="AA21" s="445" t="s">
        <v>32</v>
      </c>
      <c r="AB21" s="445" t="s">
        <v>32</v>
      </c>
      <c r="AC21" s="445" t="s">
        <v>32</v>
      </c>
      <c r="AD21" s="323" t="s">
        <v>33</v>
      </c>
      <c r="AE21" s="323" t="s">
        <v>34</v>
      </c>
      <c r="AF21" s="323" t="s">
        <v>35</v>
      </c>
      <c r="AG21" s="446">
        <v>550</v>
      </c>
      <c r="AH21" s="446">
        <v>940</v>
      </c>
      <c r="AI21" s="447">
        <v>10.31</v>
      </c>
      <c r="AJ21" s="447">
        <v>2.78</v>
      </c>
      <c r="AK21" s="448">
        <f t="shared" si="4"/>
        <v>1.02</v>
      </c>
      <c r="AL21" s="448"/>
      <c r="AM21" s="449">
        <f t="shared" si="5"/>
        <v>14.11</v>
      </c>
    </row>
    <row r="22" spans="1:39" s="465" customFormat="1" ht="15">
      <c r="A22" s="451">
        <v>13</v>
      </c>
      <c r="B22" s="452"/>
      <c r="C22" s="453">
        <v>21</v>
      </c>
      <c r="D22" s="454">
        <v>1968</v>
      </c>
      <c r="E22" s="454" t="s">
        <v>28</v>
      </c>
      <c r="F22" s="454">
        <v>5</v>
      </c>
      <c r="G22" s="454" t="s">
        <v>29</v>
      </c>
      <c r="H22" s="455">
        <f t="shared" si="6"/>
        <v>1341.3918561607616</v>
      </c>
      <c r="I22" s="455">
        <v>13099</v>
      </c>
      <c r="J22" s="455">
        <f t="shared" si="2"/>
        <v>3427.8</v>
      </c>
      <c r="K22" s="456">
        <f>3183.4-R22</f>
        <v>3183.4</v>
      </c>
      <c r="L22" s="456"/>
      <c r="M22" s="457">
        <v>377.3</v>
      </c>
      <c r="N22" s="458">
        <v>80</v>
      </c>
      <c r="O22" s="453">
        <v>9</v>
      </c>
      <c r="P22" s="454">
        <v>4</v>
      </c>
      <c r="Q22" s="455">
        <v>244.4</v>
      </c>
      <c r="R22" s="455">
        <f t="shared" si="3"/>
        <v>0</v>
      </c>
      <c r="S22" s="455"/>
      <c r="T22" s="455"/>
      <c r="U22" s="455"/>
      <c r="V22" s="455"/>
      <c r="W22" s="455"/>
      <c r="X22" s="459" t="s">
        <v>30</v>
      </c>
      <c r="Y22" s="459" t="s">
        <v>31</v>
      </c>
      <c r="Z22" s="460" t="s">
        <v>32</v>
      </c>
      <c r="AA22" s="460" t="s">
        <v>32</v>
      </c>
      <c r="AB22" s="460" t="s">
        <v>32</v>
      </c>
      <c r="AC22" s="460" t="s">
        <v>32</v>
      </c>
      <c r="AD22" s="454" t="s">
        <v>33</v>
      </c>
      <c r="AE22" s="454" t="s">
        <v>34</v>
      </c>
      <c r="AF22" s="454" t="s">
        <v>35</v>
      </c>
      <c r="AG22" s="461">
        <v>467</v>
      </c>
      <c r="AH22" s="461">
        <v>366</v>
      </c>
      <c r="AI22" s="462">
        <v>9.07</v>
      </c>
      <c r="AJ22" s="462"/>
      <c r="AK22" s="463">
        <f t="shared" si="4"/>
        <v>1.02</v>
      </c>
      <c r="AL22" s="463"/>
      <c r="AM22" s="464">
        <f t="shared" si="5"/>
        <v>10.09</v>
      </c>
    </row>
    <row r="23" spans="1:39" s="358" customFormat="1" ht="15">
      <c r="A23" s="331">
        <v>14</v>
      </c>
      <c r="B23" s="292"/>
      <c r="C23" s="294">
        <v>22</v>
      </c>
      <c r="D23" s="296">
        <v>1968</v>
      </c>
      <c r="E23" s="296" t="s">
        <v>28</v>
      </c>
      <c r="F23" s="296">
        <v>5</v>
      </c>
      <c r="G23" s="296" t="s">
        <v>29</v>
      </c>
      <c r="H23" s="302">
        <f t="shared" si="6"/>
        <v>1363.5409836065573</v>
      </c>
      <c r="I23" s="302">
        <v>13761</v>
      </c>
      <c r="J23" s="302">
        <f t="shared" si="2"/>
        <v>3484.4</v>
      </c>
      <c r="K23" s="356">
        <f>3235.8-R23</f>
        <v>3235.8</v>
      </c>
      <c r="L23" s="356"/>
      <c r="M23" s="304">
        <v>409</v>
      </c>
      <c r="N23" s="299">
        <v>80</v>
      </c>
      <c r="O23" s="294">
        <v>10</v>
      </c>
      <c r="P23" s="296">
        <v>4</v>
      </c>
      <c r="Q23" s="302">
        <v>248.6</v>
      </c>
      <c r="R23" s="302">
        <f t="shared" si="3"/>
        <v>0</v>
      </c>
      <c r="S23" s="302"/>
      <c r="T23" s="302"/>
      <c r="U23" s="302"/>
      <c r="V23" s="302"/>
      <c r="W23" s="302"/>
      <c r="X23" s="300" t="s">
        <v>30</v>
      </c>
      <c r="Y23" s="300" t="s">
        <v>31</v>
      </c>
      <c r="Z23" s="305" t="s">
        <v>32</v>
      </c>
      <c r="AA23" s="305" t="s">
        <v>32</v>
      </c>
      <c r="AB23" s="305" t="s">
        <v>32</v>
      </c>
      <c r="AC23" s="305" t="s">
        <v>32</v>
      </c>
      <c r="AD23" s="296" t="s">
        <v>33</v>
      </c>
      <c r="AE23" s="296" t="s">
        <v>34</v>
      </c>
      <c r="AF23" s="296" t="s">
        <v>35</v>
      </c>
      <c r="AG23" s="357">
        <v>516</v>
      </c>
      <c r="AH23" s="357">
        <v>399</v>
      </c>
      <c r="AI23" s="306">
        <v>9.07</v>
      </c>
      <c r="AJ23" s="306"/>
      <c r="AK23" s="303">
        <f t="shared" si="4"/>
        <v>1.02</v>
      </c>
      <c r="AL23" s="293"/>
      <c r="AM23" s="332">
        <f t="shared" si="5"/>
        <v>10.09</v>
      </c>
    </row>
    <row r="24" spans="1:39" s="358" customFormat="1" ht="15">
      <c r="A24" s="331">
        <v>15</v>
      </c>
      <c r="B24" s="292"/>
      <c r="C24" s="294">
        <v>23</v>
      </c>
      <c r="D24" s="296">
        <v>1984</v>
      </c>
      <c r="E24" s="296" t="s">
        <v>28</v>
      </c>
      <c r="F24" s="296">
        <v>5</v>
      </c>
      <c r="G24" s="296" t="s">
        <v>38</v>
      </c>
      <c r="H24" s="302">
        <f>V24</f>
        <v>716</v>
      </c>
      <c r="I24" s="302">
        <v>13145</v>
      </c>
      <c r="J24" s="302">
        <f t="shared" si="2"/>
        <v>3686.1</v>
      </c>
      <c r="K24" s="395">
        <v>3371.1</v>
      </c>
      <c r="L24" s="356"/>
      <c r="M24" s="304">
        <v>437.7</v>
      </c>
      <c r="N24" s="299">
        <v>70</v>
      </c>
      <c r="O24" s="294">
        <v>9</v>
      </c>
      <c r="P24" s="296">
        <v>4</v>
      </c>
      <c r="Q24" s="302">
        <v>315</v>
      </c>
      <c r="R24" s="302">
        <f t="shared" si="3"/>
        <v>0</v>
      </c>
      <c r="S24" s="302"/>
      <c r="T24" s="302"/>
      <c r="U24" s="302"/>
      <c r="V24" s="302">
        <v>716</v>
      </c>
      <c r="W24" s="302"/>
      <c r="X24" s="300" t="s">
        <v>30</v>
      </c>
      <c r="Y24" s="300" t="s">
        <v>31</v>
      </c>
      <c r="Z24" s="305" t="s">
        <v>32</v>
      </c>
      <c r="AA24" s="305" t="s">
        <v>32</v>
      </c>
      <c r="AB24" s="305" t="s">
        <v>32</v>
      </c>
      <c r="AC24" s="305" t="s">
        <v>32</v>
      </c>
      <c r="AD24" s="296" t="s">
        <v>33</v>
      </c>
      <c r="AE24" s="296" t="s">
        <v>34</v>
      </c>
      <c r="AF24" s="296" t="s">
        <v>35</v>
      </c>
      <c r="AG24" s="357">
        <v>516</v>
      </c>
      <c r="AH24" s="357">
        <v>621</v>
      </c>
      <c r="AI24" s="306">
        <v>8.98</v>
      </c>
      <c r="AJ24" s="306"/>
      <c r="AK24" s="303">
        <f t="shared" si="4"/>
        <v>1.02</v>
      </c>
      <c r="AL24" s="293"/>
      <c r="AM24" s="332">
        <f t="shared" si="5"/>
        <v>10</v>
      </c>
    </row>
    <row r="25" spans="1:39" s="361" customFormat="1" ht="15">
      <c r="A25" s="333">
        <v>16</v>
      </c>
      <c r="B25" s="308" t="s">
        <v>39</v>
      </c>
      <c r="C25" s="309">
        <v>24</v>
      </c>
      <c r="D25" s="310">
        <v>1978</v>
      </c>
      <c r="E25" s="310" t="s">
        <v>28</v>
      </c>
      <c r="F25" s="310">
        <v>5</v>
      </c>
      <c r="G25" s="310" t="s">
        <v>38</v>
      </c>
      <c r="H25" s="311">
        <v>507.4</v>
      </c>
      <c r="I25" s="311">
        <v>10824</v>
      </c>
      <c r="J25" s="311">
        <f t="shared" si="2"/>
        <v>2041.5900000000001</v>
      </c>
      <c r="K25" s="359">
        <f>1163.39-R25</f>
        <v>1066.69</v>
      </c>
      <c r="L25" s="359"/>
      <c r="M25" s="312">
        <v>638.44</v>
      </c>
      <c r="N25" s="313">
        <v>84</v>
      </c>
      <c r="O25" s="309">
        <v>56</v>
      </c>
      <c r="P25" s="310">
        <v>1</v>
      </c>
      <c r="Q25" s="311">
        <v>878.2</v>
      </c>
      <c r="R25" s="311">
        <f t="shared" si="3"/>
        <v>96.7</v>
      </c>
      <c r="S25" s="311"/>
      <c r="T25" s="311">
        <f>46.5+50.2</f>
        <v>96.7</v>
      </c>
      <c r="U25" s="311"/>
      <c r="V25" s="311">
        <v>507.4</v>
      </c>
      <c r="W25" s="311"/>
      <c r="X25" s="314" t="s">
        <v>30</v>
      </c>
      <c r="Y25" s="307" t="s">
        <v>37</v>
      </c>
      <c r="Z25" s="315" t="s">
        <v>32</v>
      </c>
      <c r="AA25" s="315" t="s">
        <v>32</v>
      </c>
      <c r="AB25" s="315" t="s">
        <v>32</v>
      </c>
      <c r="AC25" s="315" t="s">
        <v>32</v>
      </c>
      <c r="AD25" s="310" t="s">
        <v>33</v>
      </c>
      <c r="AE25" s="310" t="s">
        <v>34</v>
      </c>
      <c r="AF25" s="310" t="s">
        <v>35</v>
      </c>
      <c r="AG25" s="360">
        <v>513</v>
      </c>
      <c r="AH25" s="360">
        <v>1052</v>
      </c>
      <c r="AI25" s="316">
        <v>27.29</v>
      </c>
      <c r="AJ25" s="316"/>
      <c r="AK25" s="317">
        <f t="shared" si="4"/>
        <v>1.02</v>
      </c>
      <c r="AL25" s="317"/>
      <c r="AM25" s="334">
        <f t="shared" si="5"/>
        <v>28.31</v>
      </c>
    </row>
    <row r="26" spans="1:39" s="358" customFormat="1" ht="15">
      <c r="A26" s="669">
        <v>17</v>
      </c>
      <c r="B26" s="668"/>
      <c r="C26" s="667">
        <v>25</v>
      </c>
      <c r="D26" s="670">
        <v>1991</v>
      </c>
      <c r="E26" s="670" t="s">
        <v>28</v>
      </c>
      <c r="F26" s="670">
        <v>5</v>
      </c>
      <c r="G26" s="670" t="s">
        <v>38</v>
      </c>
      <c r="H26" s="666">
        <f>V26</f>
        <v>868.6</v>
      </c>
      <c r="I26" s="666">
        <v>15696</v>
      </c>
      <c r="J26" s="666">
        <f t="shared" si="2"/>
        <v>4178.7</v>
      </c>
      <c r="K26" s="775">
        <f>3711.2-R26</f>
        <v>3711.2</v>
      </c>
      <c r="L26" s="356"/>
      <c r="M26" s="783">
        <v>901.8</v>
      </c>
      <c r="N26" s="781">
        <v>60</v>
      </c>
      <c r="O26" s="779">
        <v>15</v>
      </c>
      <c r="P26" s="670">
        <v>6</v>
      </c>
      <c r="Q26" s="666">
        <v>467.5</v>
      </c>
      <c r="R26" s="666">
        <f t="shared" si="3"/>
        <v>0</v>
      </c>
      <c r="S26" s="666"/>
      <c r="T26" s="666"/>
      <c r="U26" s="666"/>
      <c r="V26" s="666">
        <v>868.6</v>
      </c>
      <c r="W26" s="666"/>
      <c r="X26" s="672" t="s">
        <v>30</v>
      </c>
      <c r="Y26" s="307" t="s">
        <v>37</v>
      </c>
      <c r="Z26" s="671" t="s">
        <v>32</v>
      </c>
      <c r="AA26" s="671" t="s">
        <v>32</v>
      </c>
      <c r="AB26" s="671" t="s">
        <v>32</v>
      </c>
      <c r="AC26" s="671" t="s">
        <v>32</v>
      </c>
      <c r="AD26" s="670" t="s">
        <v>33</v>
      </c>
      <c r="AE26" s="670" t="s">
        <v>34</v>
      </c>
      <c r="AF26" s="670" t="s">
        <v>35</v>
      </c>
      <c r="AG26" s="676">
        <v>1235</v>
      </c>
      <c r="AH26" s="676">
        <v>875</v>
      </c>
      <c r="AI26" s="675">
        <v>9.55</v>
      </c>
      <c r="AJ26" s="396"/>
      <c r="AK26" s="678">
        <f t="shared" si="4"/>
        <v>1.02</v>
      </c>
      <c r="AL26" s="670"/>
      <c r="AM26" s="673">
        <f t="shared" si="5"/>
        <v>10.57</v>
      </c>
    </row>
    <row r="27" spans="1:39" s="358" customFormat="1" ht="15">
      <c r="A27" s="669"/>
      <c r="B27" s="668"/>
      <c r="C27" s="667"/>
      <c r="D27" s="670"/>
      <c r="E27" s="670"/>
      <c r="F27" s="670"/>
      <c r="G27" s="670"/>
      <c r="H27" s="666"/>
      <c r="I27" s="666"/>
      <c r="J27" s="666"/>
      <c r="K27" s="776"/>
      <c r="L27" s="362">
        <v>10</v>
      </c>
      <c r="M27" s="784"/>
      <c r="N27" s="782"/>
      <c r="O27" s="780"/>
      <c r="P27" s="670"/>
      <c r="Q27" s="666"/>
      <c r="R27" s="666"/>
      <c r="S27" s="666"/>
      <c r="T27" s="666"/>
      <c r="U27" s="666"/>
      <c r="V27" s="666"/>
      <c r="W27" s="666"/>
      <c r="X27" s="672"/>
      <c r="Y27" s="300" t="s">
        <v>107</v>
      </c>
      <c r="Z27" s="671"/>
      <c r="AA27" s="671"/>
      <c r="AB27" s="671"/>
      <c r="AC27" s="671"/>
      <c r="AD27" s="670"/>
      <c r="AE27" s="670"/>
      <c r="AF27" s="670"/>
      <c r="AG27" s="676"/>
      <c r="AH27" s="676"/>
      <c r="AI27" s="675"/>
      <c r="AJ27" s="396"/>
      <c r="AK27" s="678"/>
      <c r="AL27" s="670"/>
      <c r="AM27" s="673"/>
    </row>
    <row r="28" spans="1:39" s="358" customFormat="1" ht="15">
      <c r="A28" s="331">
        <v>18</v>
      </c>
      <c r="B28" s="292"/>
      <c r="C28" s="294">
        <v>26</v>
      </c>
      <c r="D28" s="296">
        <v>1979</v>
      </c>
      <c r="E28" s="296" t="s">
        <v>28</v>
      </c>
      <c r="F28" s="296">
        <v>5</v>
      </c>
      <c r="G28" s="296" t="s">
        <v>38</v>
      </c>
      <c r="H28" s="302">
        <f>V28</f>
        <v>1010.9</v>
      </c>
      <c r="I28" s="302">
        <v>17490</v>
      </c>
      <c r="J28" s="302">
        <f aca="true" t="shared" si="7" ref="J28:J35">K28+Q28+R28</f>
        <v>4929.400000000001</v>
      </c>
      <c r="K28" s="395">
        <f>4444.8-R28</f>
        <v>4444.8</v>
      </c>
      <c r="L28" s="356"/>
      <c r="M28" s="304">
        <v>434.7</v>
      </c>
      <c r="N28" s="299">
        <v>100</v>
      </c>
      <c r="O28" s="294">
        <v>10</v>
      </c>
      <c r="P28" s="296">
        <v>6</v>
      </c>
      <c r="Q28" s="302">
        <v>484.6</v>
      </c>
      <c r="R28" s="302">
        <f aca="true" t="shared" si="8" ref="R28:R35">SUM(S28:T28)</f>
        <v>0</v>
      </c>
      <c r="S28" s="302"/>
      <c r="T28" s="302"/>
      <c r="U28" s="302"/>
      <c r="V28" s="302">
        <v>1010.9</v>
      </c>
      <c r="W28" s="302"/>
      <c r="X28" s="300" t="s">
        <v>30</v>
      </c>
      <c r="Y28" s="300" t="s">
        <v>31</v>
      </c>
      <c r="Z28" s="305" t="s">
        <v>32</v>
      </c>
      <c r="AA28" s="305" t="s">
        <v>32</v>
      </c>
      <c r="AB28" s="305" t="s">
        <v>32</v>
      </c>
      <c r="AC28" s="305" t="s">
        <v>32</v>
      </c>
      <c r="AD28" s="296" t="s">
        <v>33</v>
      </c>
      <c r="AE28" s="296" t="s">
        <v>34</v>
      </c>
      <c r="AF28" s="296" t="s">
        <v>35</v>
      </c>
      <c r="AG28" s="357">
        <v>867</v>
      </c>
      <c r="AH28" s="357">
        <v>893</v>
      </c>
      <c r="AI28" s="306">
        <f>AI24</f>
        <v>8.98</v>
      </c>
      <c r="AJ28" s="306"/>
      <c r="AK28" s="303">
        <f aca="true" t="shared" si="9" ref="AK28:AK35">AK$8</f>
        <v>1.02</v>
      </c>
      <c r="AL28" s="293"/>
      <c r="AM28" s="332">
        <f aca="true" t="shared" si="10" ref="AM28:AM35">SUM(AI28:AL28)</f>
        <v>10</v>
      </c>
    </row>
    <row r="29" spans="1:39" s="358" customFormat="1" ht="15">
      <c r="A29" s="331">
        <v>19</v>
      </c>
      <c r="B29" s="292"/>
      <c r="C29" s="294">
        <v>27</v>
      </c>
      <c r="D29" s="296">
        <v>1984</v>
      </c>
      <c r="E29" s="296" t="s">
        <v>28</v>
      </c>
      <c r="F29" s="296">
        <v>5</v>
      </c>
      <c r="G29" s="296" t="s">
        <v>38</v>
      </c>
      <c r="H29" s="302">
        <f>V29</f>
        <v>1021.3</v>
      </c>
      <c r="I29" s="302">
        <v>17831</v>
      </c>
      <c r="J29" s="302">
        <f t="shared" si="7"/>
        <v>5078.9</v>
      </c>
      <c r="K29" s="395">
        <f>4635.9-R29</f>
        <v>4635.9</v>
      </c>
      <c r="L29" s="356"/>
      <c r="M29" s="304">
        <v>565.9</v>
      </c>
      <c r="N29" s="299">
        <v>100</v>
      </c>
      <c r="O29" s="294">
        <v>12</v>
      </c>
      <c r="P29" s="296">
        <v>6</v>
      </c>
      <c r="Q29" s="302">
        <v>443</v>
      </c>
      <c r="R29" s="302">
        <f t="shared" si="8"/>
        <v>0</v>
      </c>
      <c r="S29" s="302"/>
      <c r="T29" s="302"/>
      <c r="U29" s="302"/>
      <c r="V29" s="302">
        <v>1021.3</v>
      </c>
      <c r="W29" s="302"/>
      <c r="X29" s="300" t="s">
        <v>30</v>
      </c>
      <c r="Y29" s="300" t="s">
        <v>31</v>
      </c>
      <c r="Z29" s="305" t="s">
        <v>32</v>
      </c>
      <c r="AA29" s="305" t="s">
        <v>32</v>
      </c>
      <c r="AB29" s="305" t="s">
        <v>32</v>
      </c>
      <c r="AC29" s="305" t="s">
        <v>32</v>
      </c>
      <c r="AD29" s="296" t="s">
        <v>33</v>
      </c>
      <c r="AE29" s="296" t="s">
        <v>34</v>
      </c>
      <c r="AF29" s="296" t="s">
        <v>35</v>
      </c>
      <c r="AG29" s="357">
        <v>857</v>
      </c>
      <c r="AH29" s="357">
        <v>876</v>
      </c>
      <c r="AI29" s="306">
        <f>AI28</f>
        <v>8.98</v>
      </c>
      <c r="AJ29" s="306"/>
      <c r="AK29" s="303">
        <f t="shared" si="9"/>
        <v>1.02</v>
      </c>
      <c r="AL29" s="293"/>
      <c r="AM29" s="332">
        <f t="shared" si="10"/>
        <v>10</v>
      </c>
    </row>
    <row r="30" spans="1:39" s="433" customFormat="1" ht="15">
      <c r="A30" s="419">
        <v>20</v>
      </c>
      <c r="B30" s="434"/>
      <c r="C30" s="421">
        <v>29</v>
      </c>
      <c r="D30" s="422">
        <v>1975</v>
      </c>
      <c r="E30" s="422" t="s">
        <v>28</v>
      </c>
      <c r="F30" s="422">
        <v>5</v>
      </c>
      <c r="G30" s="422" t="s">
        <v>29</v>
      </c>
      <c r="H30" s="424">
        <f>J30*1110/2836.5</f>
        <v>1914.2168164992067</v>
      </c>
      <c r="I30" s="424">
        <v>18245</v>
      </c>
      <c r="J30" s="424">
        <f t="shared" si="7"/>
        <v>4891.6</v>
      </c>
      <c r="K30" s="425">
        <f>4494.6-R30</f>
        <v>4494.6</v>
      </c>
      <c r="L30" s="425"/>
      <c r="M30" s="426">
        <v>360.9</v>
      </c>
      <c r="N30" s="427">
        <v>100</v>
      </c>
      <c r="O30" s="421">
        <v>8</v>
      </c>
      <c r="P30" s="422">
        <v>6</v>
      </c>
      <c r="Q30" s="424">
        <v>397</v>
      </c>
      <c r="R30" s="424">
        <f t="shared" si="8"/>
        <v>0</v>
      </c>
      <c r="S30" s="424"/>
      <c r="T30" s="424"/>
      <c r="U30" s="424"/>
      <c r="V30" s="424">
        <v>945.9</v>
      </c>
      <c r="W30" s="424"/>
      <c r="X30" s="428" t="s">
        <v>30</v>
      </c>
      <c r="Y30" s="428" t="s">
        <v>31</v>
      </c>
      <c r="Z30" s="429" t="s">
        <v>32</v>
      </c>
      <c r="AA30" s="429" t="s">
        <v>32</v>
      </c>
      <c r="AB30" s="429" t="s">
        <v>32</v>
      </c>
      <c r="AC30" s="429" t="s">
        <v>32</v>
      </c>
      <c r="AD30" s="422" t="s">
        <v>33</v>
      </c>
      <c r="AE30" s="422" t="s">
        <v>34</v>
      </c>
      <c r="AF30" s="422" t="s">
        <v>35</v>
      </c>
      <c r="AG30" s="430">
        <v>857</v>
      </c>
      <c r="AH30" s="430">
        <v>876</v>
      </c>
      <c r="AI30" s="431">
        <v>9.7</v>
      </c>
      <c r="AJ30" s="431">
        <v>2</v>
      </c>
      <c r="AK30" s="420">
        <f t="shared" si="9"/>
        <v>1.02</v>
      </c>
      <c r="AL30" s="420"/>
      <c r="AM30" s="432">
        <f t="shared" si="10"/>
        <v>12.719999999999999</v>
      </c>
    </row>
    <row r="31" spans="1:39" s="358" customFormat="1" ht="15">
      <c r="A31" s="331">
        <v>21</v>
      </c>
      <c r="B31" s="292"/>
      <c r="C31" s="294">
        <v>30</v>
      </c>
      <c r="D31" s="296">
        <v>1973</v>
      </c>
      <c r="E31" s="296" t="s">
        <v>28</v>
      </c>
      <c r="F31" s="296">
        <v>5</v>
      </c>
      <c r="G31" s="296" t="s">
        <v>29</v>
      </c>
      <c r="H31" s="302">
        <f>J31*1110/2836.5</f>
        <v>1912.064516129032</v>
      </c>
      <c r="I31" s="302">
        <v>17665</v>
      </c>
      <c r="J31" s="302">
        <f t="shared" si="7"/>
        <v>4886.099999999999</v>
      </c>
      <c r="K31" s="356">
        <f>4484.7-R31</f>
        <v>4484.7</v>
      </c>
      <c r="L31" s="356"/>
      <c r="M31" s="304">
        <v>337.4</v>
      </c>
      <c r="N31" s="299">
        <v>101</v>
      </c>
      <c r="O31" s="294">
        <v>8</v>
      </c>
      <c r="P31" s="296">
        <v>6</v>
      </c>
      <c r="Q31" s="302">
        <v>401.4</v>
      </c>
      <c r="R31" s="302">
        <f t="shared" si="8"/>
        <v>0</v>
      </c>
      <c r="S31" s="302"/>
      <c r="T31" s="302"/>
      <c r="U31" s="302"/>
      <c r="V31" s="302">
        <v>975.1</v>
      </c>
      <c r="W31" s="302"/>
      <c r="X31" s="300" t="s">
        <v>30</v>
      </c>
      <c r="Y31" s="300" t="s">
        <v>31</v>
      </c>
      <c r="Z31" s="305" t="s">
        <v>32</v>
      </c>
      <c r="AA31" s="305" t="s">
        <v>32</v>
      </c>
      <c r="AB31" s="305" t="s">
        <v>32</v>
      </c>
      <c r="AC31" s="305" t="s">
        <v>32</v>
      </c>
      <c r="AD31" s="296" t="s">
        <v>33</v>
      </c>
      <c r="AE31" s="296" t="s">
        <v>34</v>
      </c>
      <c r="AF31" s="296" t="s">
        <v>35</v>
      </c>
      <c r="AG31" s="357">
        <v>857</v>
      </c>
      <c r="AH31" s="357">
        <v>628</v>
      </c>
      <c r="AI31" s="306">
        <v>9.17</v>
      </c>
      <c r="AJ31" s="306"/>
      <c r="AK31" s="303">
        <f t="shared" si="9"/>
        <v>1.02</v>
      </c>
      <c r="AL31" s="293"/>
      <c r="AM31" s="332">
        <f t="shared" si="10"/>
        <v>10.19</v>
      </c>
    </row>
    <row r="32" spans="1:39" s="450" customFormat="1" ht="15">
      <c r="A32" s="437">
        <v>22</v>
      </c>
      <c r="B32" s="438"/>
      <c r="C32" s="439">
        <v>31</v>
      </c>
      <c r="D32" s="323">
        <v>1969</v>
      </c>
      <c r="E32" s="323" t="s">
        <v>28</v>
      </c>
      <c r="F32" s="323">
        <v>5</v>
      </c>
      <c r="G32" s="323" t="s">
        <v>29</v>
      </c>
      <c r="H32" s="440">
        <f>J32*1110/2836.5</f>
        <v>1318.2644103648863</v>
      </c>
      <c r="I32" s="440">
        <v>12046</v>
      </c>
      <c r="J32" s="440">
        <f t="shared" si="7"/>
        <v>3368.7</v>
      </c>
      <c r="K32" s="441">
        <f>3128.7-R32</f>
        <v>3128.7</v>
      </c>
      <c r="L32" s="441"/>
      <c r="M32" s="442">
        <v>289.1</v>
      </c>
      <c r="N32" s="443">
        <v>80</v>
      </c>
      <c r="O32" s="439">
        <v>8</v>
      </c>
      <c r="P32" s="323">
        <v>4</v>
      </c>
      <c r="Q32" s="440">
        <v>240</v>
      </c>
      <c r="R32" s="440">
        <f t="shared" si="8"/>
        <v>0</v>
      </c>
      <c r="S32" s="440"/>
      <c r="T32" s="440"/>
      <c r="U32" s="440"/>
      <c r="V32" s="440">
        <v>679.3</v>
      </c>
      <c r="W32" s="440"/>
      <c r="X32" s="444" t="s">
        <v>30</v>
      </c>
      <c r="Y32" s="444" t="s">
        <v>31</v>
      </c>
      <c r="Z32" s="445" t="s">
        <v>32</v>
      </c>
      <c r="AA32" s="445" t="s">
        <v>32</v>
      </c>
      <c r="AB32" s="445" t="s">
        <v>32</v>
      </c>
      <c r="AC32" s="445" t="s">
        <v>32</v>
      </c>
      <c r="AD32" s="323" t="s">
        <v>33</v>
      </c>
      <c r="AE32" s="323" t="s">
        <v>34</v>
      </c>
      <c r="AF32" s="323" t="s">
        <v>35</v>
      </c>
      <c r="AG32" s="446">
        <v>498</v>
      </c>
      <c r="AH32" s="446">
        <v>460</v>
      </c>
      <c r="AI32" s="447">
        <v>10.31</v>
      </c>
      <c r="AJ32" s="447">
        <v>2.78</v>
      </c>
      <c r="AK32" s="448">
        <f t="shared" si="9"/>
        <v>1.02</v>
      </c>
      <c r="AL32" s="448"/>
      <c r="AM32" s="449">
        <f t="shared" si="10"/>
        <v>14.11</v>
      </c>
    </row>
    <row r="33" spans="1:39" s="450" customFormat="1" ht="15">
      <c r="A33" s="437">
        <v>23</v>
      </c>
      <c r="B33" s="438"/>
      <c r="C33" s="439">
        <v>34</v>
      </c>
      <c r="D33" s="323">
        <v>1966</v>
      </c>
      <c r="E33" s="323" t="s">
        <v>28</v>
      </c>
      <c r="F33" s="323">
        <v>5</v>
      </c>
      <c r="G33" s="323" t="s">
        <v>29</v>
      </c>
      <c r="H33" s="440">
        <f>J33*1110/2836.5</f>
        <v>1333.2522474881016</v>
      </c>
      <c r="I33" s="440">
        <v>13531</v>
      </c>
      <c r="J33" s="440">
        <f t="shared" si="7"/>
        <v>3407</v>
      </c>
      <c r="K33" s="441">
        <f>3165-R33</f>
        <v>3165</v>
      </c>
      <c r="L33" s="441"/>
      <c r="M33" s="442">
        <v>301.9</v>
      </c>
      <c r="N33" s="443">
        <v>80</v>
      </c>
      <c r="O33" s="439">
        <v>8</v>
      </c>
      <c r="P33" s="323">
        <v>4</v>
      </c>
      <c r="Q33" s="440">
        <v>242</v>
      </c>
      <c r="R33" s="440">
        <f t="shared" si="8"/>
        <v>0</v>
      </c>
      <c r="S33" s="440"/>
      <c r="T33" s="440"/>
      <c r="U33" s="440"/>
      <c r="V33" s="440">
        <v>679.3</v>
      </c>
      <c r="W33" s="440"/>
      <c r="X33" s="444" t="s">
        <v>30</v>
      </c>
      <c r="Y33" s="444" t="s">
        <v>31</v>
      </c>
      <c r="Z33" s="445" t="s">
        <v>32</v>
      </c>
      <c r="AA33" s="445" t="s">
        <v>32</v>
      </c>
      <c r="AB33" s="445" t="s">
        <v>32</v>
      </c>
      <c r="AC33" s="445" t="s">
        <v>32</v>
      </c>
      <c r="AD33" s="323" t="s">
        <v>33</v>
      </c>
      <c r="AE33" s="323" t="s">
        <v>34</v>
      </c>
      <c r="AF33" s="323" t="s">
        <v>35</v>
      </c>
      <c r="AG33" s="446">
        <v>504</v>
      </c>
      <c r="AH33" s="446">
        <v>936</v>
      </c>
      <c r="AI33" s="447">
        <v>10.31</v>
      </c>
      <c r="AJ33" s="447">
        <v>2.78</v>
      </c>
      <c r="AK33" s="448">
        <f t="shared" si="9"/>
        <v>1.02</v>
      </c>
      <c r="AL33" s="448"/>
      <c r="AM33" s="449">
        <f t="shared" si="10"/>
        <v>14.11</v>
      </c>
    </row>
    <row r="34" spans="1:39" s="450" customFormat="1" ht="15">
      <c r="A34" s="437">
        <v>24</v>
      </c>
      <c r="B34" s="438"/>
      <c r="C34" s="439">
        <v>37</v>
      </c>
      <c r="D34" s="323">
        <v>1964</v>
      </c>
      <c r="E34" s="323" t="s">
        <v>28</v>
      </c>
      <c r="F34" s="323">
        <v>5</v>
      </c>
      <c r="G34" s="323" t="s">
        <v>29</v>
      </c>
      <c r="H34" s="440">
        <f>J34*1110/2836.5</f>
        <v>1337.0481226864092</v>
      </c>
      <c r="I34" s="440">
        <v>12801</v>
      </c>
      <c r="J34" s="440">
        <f t="shared" si="7"/>
        <v>3416.7</v>
      </c>
      <c r="K34" s="441">
        <f>3174.7-R34</f>
        <v>3174.7</v>
      </c>
      <c r="L34" s="441"/>
      <c r="M34" s="442">
        <v>303</v>
      </c>
      <c r="N34" s="443">
        <v>80</v>
      </c>
      <c r="O34" s="439">
        <v>8</v>
      </c>
      <c r="P34" s="323">
        <v>4</v>
      </c>
      <c r="Q34" s="440">
        <v>242</v>
      </c>
      <c r="R34" s="440">
        <f t="shared" si="8"/>
        <v>0</v>
      </c>
      <c r="S34" s="440"/>
      <c r="T34" s="440"/>
      <c r="U34" s="440"/>
      <c r="V34" s="440">
        <v>673.4</v>
      </c>
      <c r="W34" s="440"/>
      <c r="X34" s="444" t="s">
        <v>30</v>
      </c>
      <c r="Y34" s="444" t="s">
        <v>31</v>
      </c>
      <c r="Z34" s="445" t="s">
        <v>32</v>
      </c>
      <c r="AA34" s="445" t="s">
        <v>32</v>
      </c>
      <c r="AB34" s="445" t="s">
        <v>32</v>
      </c>
      <c r="AC34" s="445" t="s">
        <v>32</v>
      </c>
      <c r="AD34" s="323" t="s">
        <v>33</v>
      </c>
      <c r="AE34" s="323" t="s">
        <v>34</v>
      </c>
      <c r="AF34" s="323" t="s">
        <v>35</v>
      </c>
      <c r="AG34" s="446">
        <v>497</v>
      </c>
      <c r="AH34" s="446">
        <v>590</v>
      </c>
      <c r="AI34" s="447">
        <v>10.31</v>
      </c>
      <c r="AJ34" s="447">
        <v>2.78</v>
      </c>
      <c r="AK34" s="448">
        <f t="shared" si="9"/>
        <v>1.02</v>
      </c>
      <c r="AL34" s="448"/>
      <c r="AM34" s="449">
        <f t="shared" si="10"/>
        <v>14.11</v>
      </c>
    </row>
    <row r="35" spans="1:39" s="433" customFormat="1" ht="15.75" thickBot="1">
      <c r="A35" s="419">
        <v>25</v>
      </c>
      <c r="B35" s="434"/>
      <c r="C35" s="421">
        <v>38</v>
      </c>
      <c r="D35" s="422">
        <v>1983</v>
      </c>
      <c r="E35" s="422" t="s">
        <v>28</v>
      </c>
      <c r="F35" s="422">
        <v>2</v>
      </c>
      <c r="G35" s="422" t="s">
        <v>38</v>
      </c>
      <c r="H35" s="424">
        <f>V35</f>
        <v>337.4</v>
      </c>
      <c r="I35" s="424">
        <v>2627</v>
      </c>
      <c r="J35" s="424">
        <f t="shared" si="7"/>
        <v>643.5</v>
      </c>
      <c r="K35" s="425">
        <f>589.5-R35</f>
        <v>589.5</v>
      </c>
      <c r="L35" s="425"/>
      <c r="M35" s="426">
        <v>0</v>
      </c>
      <c r="N35" s="427">
        <v>12</v>
      </c>
      <c r="O35" s="421">
        <v>0</v>
      </c>
      <c r="P35" s="422">
        <v>2</v>
      </c>
      <c r="Q35" s="424">
        <v>54</v>
      </c>
      <c r="R35" s="424">
        <f t="shared" si="8"/>
        <v>0</v>
      </c>
      <c r="S35" s="424"/>
      <c r="T35" s="424"/>
      <c r="U35" s="424"/>
      <c r="V35" s="424">
        <v>337.4</v>
      </c>
      <c r="W35" s="424"/>
      <c r="X35" s="428" t="s">
        <v>30</v>
      </c>
      <c r="Y35" s="428" t="s">
        <v>31</v>
      </c>
      <c r="Z35" s="429" t="s">
        <v>32</v>
      </c>
      <c r="AA35" s="429" t="s">
        <v>32</v>
      </c>
      <c r="AB35" s="429" t="s">
        <v>32</v>
      </c>
      <c r="AC35" s="429" t="s">
        <v>52</v>
      </c>
      <c r="AD35" s="422" t="s">
        <v>33</v>
      </c>
      <c r="AE35" s="422" t="s">
        <v>34</v>
      </c>
      <c r="AF35" s="422" t="s">
        <v>35</v>
      </c>
      <c r="AG35" s="430">
        <v>349</v>
      </c>
      <c r="AH35" s="430">
        <v>96</v>
      </c>
      <c r="AI35" s="431">
        <v>8.17</v>
      </c>
      <c r="AJ35" s="431">
        <v>2</v>
      </c>
      <c r="AK35" s="420">
        <f t="shared" si="9"/>
        <v>1.02</v>
      </c>
      <c r="AL35" s="420"/>
      <c r="AM35" s="432">
        <f t="shared" si="10"/>
        <v>11.19</v>
      </c>
    </row>
    <row r="36" spans="1:39" ht="15.75" thickBot="1">
      <c r="A36" s="258">
        <v>1</v>
      </c>
      <c r="B36" s="258">
        <v>2</v>
      </c>
      <c r="C36" s="258">
        <v>3</v>
      </c>
      <c r="D36" s="258">
        <v>4</v>
      </c>
      <c r="E36" s="258">
        <v>5</v>
      </c>
      <c r="F36" s="258">
        <v>6</v>
      </c>
      <c r="G36" s="258">
        <v>7</v>
      </c>
      <c r="H36" s="258">
        <v>8</v>
      </c>
      <c r="I36" s="258">
        <v>9</v>
      </c>
      <c r="J36" s="258">
        <v>10</v>
      </c>
      <c r="K36" s="258">
        <v>11</v>
      </c>
      <c r="L36" s="258">
        <v>12</v>
      </c>
      <c r="M36" s="258">
        <v>13</v>
      </c>
      <c r="N36" s="258">
        <v>14</v>
      </c>
      <c r="O36" s="258">
        <v>15</v>
      </c>
      <c r="P36" s="258">
        <v>16</v>
      </c>
      <c r="Q36" s="258">
        <v>17</v>
      </c>
      <c r="R36" s="258">
        <v>18</v>
      </c>
      <c r="S36" s="258">
        <v>19</v>
      </c>
      <c r="T36" s="258">
        <v>20</v>
      </c>
      <c r="U36" s="258">
        <v>21</v>
      </c>
      <c r="V36" s="258">
        <v>22</v>
      </c>
      <c r="W36" s="258">
        <v>23</v>
      </c>
      <c r="X36" s="258">
        <v>24</v>
      </c>
      <c r="Y36" s="258">
        <v>25</v>
      </c>
      <c r="Z36" s="258">
        <v>26</v>
      </c>
      <c r="AA36" s="258">
        <v>27</v>
      </c>
      <c r="AB36" s="258">
        <v>28</v>
      </c>
      <c r="AC36" s="258">
        <v>29</v>
      </c>
      <c r="AD36" s="258">
        <v>30</v>
      </c>
      <c r="AE36" s="258">
        <v>31</v>
      </c>
      <c r="AF36" s="258">
        <v>32</v>
      </c>
      <c r="AG36" s="258">
        <v>33</v>
      </c>
      <c r="AH36" s="258">
        <v>34</v>
      </c>
      <c r="AI36" s="258">
        <v>35</v>
      </c>
      <c r="AJ36" s="258"/>
      <c r="AK36" s="258">
        <v>36</v>
      </c>
      <c r="AL36" s="258">
        <v>37</v>
      </c>
      <c r="AM36" s="259">
        <v>38</v>
      </c>
    </row>
    <row r="37" spans="1:39" s="358" customFormat="1" ht="15.75" thickTop="1">
      <c r="A37" s="331">
        <v>26</v>
      </c>
      <c r="B37" s="293" t="s">
        <v>27</v>
      </c>
      <c r="C37" s="294">
        <v>39</v>
      </c>
      <c r="D37" s="296">
        <v>1983</v>
      </c>
      <c r="E37" s="296" t="s">
        <v>28</v>
      </c>
      <c r="F37" s="296">
        <v>2</v>
      </c>
      <c r="G37" s="296" t="s">
        <v>38</v>
      </c>
      <c r="H37" s="302">
        <f>V37</f>
        <v>300.6</v>
      </c>
      <c r="I37" s="302">
        <v>2466</v>
      </c>
      <c r="J37" s="302">
        <f aca="true" t="shared" si="11" ref="J37:J69">K37+Q37+R37</f>
        <v>613.9</v>
      </c>
      <c r="K37" s="395">
        <f>564.3-R37</f>
        <v>564.3</v>
      </c>
      <c r="L37" s="356"/>
      <c r="M37" s="304">
        <v>0</v>
      </c>
      <c r="N37" s="299">
        <v>12</v>
      </c>
      <c r="O37" s="294">
        <v>0</v>
      </c>
      <c r="P37" s="297">
        <v>2</v>
      </c>
      <c r="Q37" s="302">
        <v>49.6</v>
      </c>
      <c r="R37" s="302">
        <f aca="true" t="shared" si="12" ref="R37:R74">SUM(S37:T37)</f>
        <v>0</v>
      </c>
      <c r="S37" s="302"/>
      <c r="T37" s="302"/>
      <c r="U37" s="302">
        <v>300.6</v>
      </c>
      <c r="V37" s="302">
        <v>300.6</v>
      </c>
      <c r="W37" s="302"/>
      <c r="X37" s="300" t="s">
        <v>30</v>
      </c>
      <c r="Y37" s="300" t="s">
        <v>31</v>
      </c>
      <c r="Z37" s="305" t="s">
        <v>32</v>
      </c>
      <c r="AA37" s="305" t="s">
        <v>32</v>
      </c>
      <c r="AB37" s="305" t="s">
        <v>32</v>
      </c>
      <c r="AC37" s="305" t="s">
        <v>52</v>
      </c>
      <c r="AD37" s="296" t="s">
        <v>33</v>
      </c>
      <c r="AE37" s="296" t="s">
        <v>34</v>
      </c>
      <c r="AF37" s="296" t="s">
        <v>35</v>
      </c>
      <c r="AG37" s="357">
        <v>349</v>
      </c>
      <c r="AH37" s="357">
        <v>96</v>
      </c>
      <c r="AI37" s="306">
        <v>7.95</v>
      </c>
      <c r="AJ37" s="306"/>
      <c r="AK37" s="303">
        <f aca="true" t="shared" si="13" ref="AK37:AK74">AK$8</f>
        <v>1.02</v>
      </c>
      <c r="AL37" s="293"/>
      <c r="AM37" s="332">
        <f aca="true" t="shared" si="14" ref="AM37:AM74">SUM(AI37:AL37)</f>
        <v>8.97</v>
      </c>
    </row>
    <row r="38" spans="1:39" s="433" customFormat="1" ht="15">
      <c r="A38" s="419">
        <v>27</v>
      </c>
      <c r="B38" s="434"/>
      <c r="C38" s="421">
        <v>40</v>
      </c>
      <c r="D38" s="422">
        <v>1985</v>
      </c>
      <c r="E38" s="422" t="s">
        <v>28</v>
      </c>
      <c r="F38" s="422">
        <v>2</v>
      </c>
      <c r="G38" s="422" t="s">
        <v>38</v>
      </c>
      <c r="H38" s="424">
        <f>V38</f>
        <v>337.4</v>
      </c>
      <c r="I38" s="424">
        <v>1054</v>
      </c>
      <c r="J38" s="424">
        <f t="shared" si="11"/>
        <v>652.7</v>
      </c>
      <c r="K38" s="425">
        <f>603.1-R38</f>
        <v>603.1</v>
      </c>
      <c r="L38" s="425"/>
      <c r="M38" s="426">
        <v>61.8</v>
      </c>
      <c r="N38" s="427">
        <v>12</v>
      </c>
      <c r="O38" s="421">
        <v>1</v>
      </c>
      <c r="P38" s="422">
        <v>2</v>
      </c>
      <c r="Q38" s="424">
        <v>49.6</v>
      </c>
      <c r="R38" s="424">
        <f t="shared" si="12"/>
        <v>0</v>
      </c>
      <c r="S38" s="424"/>
      <c r="T38" s="424"/>
      <c r="U38" s="424"/>
      <c r="V38" s="424">
        <v>337.4</v>
      </c>
      <c r="W38" s="424"/>
      <c r="X38" s="428" t="s">
        <v>30</v>
      </c>
      <c r="Y38" s="428" t="s">
        <v>31</v>
      </c>
      <c r="Z38" s="429" t="s">
        <v>32</v>
      </c>
      <c r="AA38" s="429" t="s">
        <v>32</v>
      </c>
      <c r="AB38" s="429" t="s">
        <v>32</v>
      </c>
      <c r="AC38" s="429" t="s">
        <v>52</v>
      </c>
      <c r="AD38" s="422" t="s">
        <v>33</v>
      </c>
      <c r="AE38" s="422" t="s">
        <v>34</v>
      </c>
      <c r="AF38" s="422" t="s">
        <v>35</v>
      </c>
      <c r="AG38" s="430">
        <v>349</v>
      </c>
      <c r="AH38" s="430">
        <v>96</v>
      </c>
      <c r="AI38" s="431">
        <v>8.17</v>
      </c>
      <c r="AJ38" s="431">
        <v>2</v>
      </c>
      <c r="AK38" s="420">
        <f t="shared" si="13"/>
        <v>1.02</v>
      </c>
      <c r="AL38" s="420"/>
      <c r="AM38" s="432">
        <f t="shared" si="14"/>
        <v>11.19</v>
      </c>
    </row>
    <row r="39" spans="1:39" s="433" customFormat="1" ht="15">
      <c r="A39" s="419">
        <v>28</v>
      </c>
      <c r="B39" s="434"/>
      <c r="C39" s="421">
        <v>41</v>
      </c>
      <c r="D39" s="422">
        <v>1983</v>
      </c>
      <c r="E39" s="422" t="s">
        <v>28</v>
      </c>
      <c r="F39" s="422">
        <v>2</v>
      </c>
      <c r="G39" s="422" t="s">
        <v>38</v>
      </c>
      <c r="H39" s="424">
        <f>J39*489/777.2</f>
        <v>389.400540401441</v>
      </c>
      <c r="I39" s="424">
        <f>J39*I38/J38</f>
        <v>999.4187222307338</v>
      </c>
      <c r="J39" s="424">
        <f t="shared" si="11"/>
        <v>618.9</v>
      </c>
      <c r="K39" s="425">
        <f>568.6-R39</f>
        <v>568.6</v>
      </c>
      <c r="L39" s="425"/>
      <c r="M39" s="426">
        <v>48.7</v>
      </c>
      <c r="N39" s="427">
        <v>12</v>
      </c>
      <c r="O39" s="421">
        <v>1</v>
      </c>
      <c r="P39" s="422">
        <v>2</v>
      </c>
      <c r="Q39" s="424">
        <v>50.3</v>
      </c>
      <c r="R39" s="424">
        <f t="shared" si="12"/>
        <v>0</v>
      </c>
      <c r="S39" s="424"/>
      <c r="T39" s="424"/>
      <c r="U39" s="435"/>
      <c r="V39" s="435">
        <v>850</v>
      </c>
      <c r="W39" s="435"/>
      <c r="X39" s="428" t="s">
        <v>30</v>
      </c>
      <c r="Y39" s="428" t="s">
        <v>31</v>
      </c>
      <c r="Z39" s="429" t="s">
        <v>32</v>
      </c>
      <c r="AA39" s="429" t="s">
        <v>32</v>
      </c>
      <c r="AB39" s="429" t="s">
        <v>32</v>
      </c>
      <c r="AC39" s="429" t="s">
        <v>52</v>
      </c>
      <c r="AD39" s="422" t="s">
        <v>33</v>
      </c>
      <c r="AE39" s="422" t="s">
        <v>34</v>
      </c>
      <c r="AF39" s="422" t="s">
        <v>35</v>
      </c>
      <c r="AG39" s="430">
        <v>349</v>
      </c>
      <c r="AH39" s="430">
        <v>96</v>
      </c>
      <c r="AI39" s="436">
        <v>7.59</v>
      </c>
      <c r="AJ39" s="436">
        <v>2</v>
      </c>
      <c r="AK39" s="420">
        <f t="shared" si="13"/>
        <v>1.02</v>
      </c>
      <c r="AL39" s="420"/>
      <c r="AM39" s="432">
        <f t="shared" si="14"/>
        <v>10.61</v>
      </c>
    </row>
    <row r="40" spans="1:39" s="358" customFormat="1" ht="15">
      <c r="A40" s="331">
        <v>29</v>
      </c>
      <c r="B40" s="292"/>
      <c r="C40" s="294">
        <v>42</v>
      </c>
      <c r="D40" s="296">
        <v>1985</v>
      </c>
      <c r="E40" s="296" t="s">
        <v>28</v>
      </c>
      <c r="F40" s="296">
        <v>2</v>
      </c>
      <c r="G40" s="296" t="s">
        <v>38</v>
      </c>
      <c r="H40" s="302">
        <f>V40</f>
        <v>296.59999999999997</v>
      </c>
      <c r="I40" s="302">
        <v>2674</v>
      </c>
      <c r="J40" s="302">
        <f t="shared" si="11"/>
        <v>643.1999999999999</v>
      </c>
      <c r="K40" s="395">
        <f>592.9-R40</f>
        <v>592.9</v>
      </c>
      <c r="L40" s="356"/>
      <c r="M40" s="304">
        <v>39</v>
      </c>
      <c r="N40" s="299">
        <v>12</v>
      </c>
      <c r="O40" s="294">
        <v>1</v>
      </c>
      <c r="P40" s="296">
        <v>2</v>
      </c>
      <c r="Q40" s="302">
        <v>50.3</v>
      </c>
      <c r="R40" s="302">
        <f t="shared" si="12"/>
        <v>0</v>
      </c>
      <c r="S40" s="302"/>
      <c r="T40" s="302"/>
      <c r="U40" s="302"/>
      <c r="V40" s="302">
        <f>50.6+2.9+12.1+62.2+61.7+51.7+12.1+43.3</f>
        <v>296.59999999999997</v>
      </c>
      <c r="W40" s="302"/>
      <c r="X40" s="300" t="s">
        <v>30</v>
      </c>
      <c r="Y40" s="300" t="s">
        <v>31</v>
      </c>
      <c r="Z40" s="305" t="s">
        <v>32</v>
      </c>
      <c r="AA40" s="305" t="s">
        <v>32</v>
      </c>
      <c r="AB40" s="305" t="s">
        <v>32</v>
      </c>
      <c r="AC40" s="305" t="s">
        <v>52</v>
      </c>
      <c r="AD40" s="296" t="s">
        <v>33</v>
      </c>
      <c r="AE40" s="296" t="s">
        <v>34</v>
      </c>
      <c r="AF40" s="296" t="s">
        <v>35</v>
      </c>
      <c r="AG40" s="357">
        <v>349</v>
      </c>
      <c r="AH40" s="357">
        <v>96</v>
      </c>
      <c r="AI40" s="321">
        <v>7.81</v>
      </c>
      <c r="AJ40" s="321"/>
      <c r="AK40" s="303">
        <f t="shared" si="13"/>
        <v>1.02</v>
      </c>
      <c r="AL40" s="293"/>
      <c r="AM40" s="332">
        <f t="shared" si="14"/>
        <v>8.83</v>
      </c>
    </row>
    <row r="41" spans="1:39" s="358" customFormat="1" ht="15">
      <c r="A41" s="331">
        <v>30</v>
      </c>
      <c r="B41" s="292"/>
      <c r="C41" s="294">
        <v>43</v>
      </c>
      <c r="D41" s="296">
        <v>2001</v>
      </c>
      <c r="E41" s="296" t="s">
        <v>28</v>
      </c>
      <c r="F41" s="296">
        <v>5</v>
      </c>
      <c r="G41" s="296" t="s">
        <v>40</v>
      </c>
      <c r="H41" s="302">
        <f>J41*1110/2836.5</f>
        <v>1215.1496562665257</v>
      </c>
      <c r="I41" s="302">
        <v>14665</v>
      </c>
      <c r="J41" s="302">
        <f t="shared" si="11"/>
        <v>3105.2</v>
      </c>
      <c r="K41" s="395">
        <f>2755-R41</f>
        <v>2755</v>
      </c>
      <c r="L41" s="356"/>
      <c r="M41" s="304">
        <v>0</v>
      </c>
      <c r="N41" s="299">
        <v>30</v>
      </c>
      <c r="O41" s="294">
        <v>0</v>
      </c>
      <c r="P41" s="296">
        <v>3</v>
      </c>
      <c r="Q41" s="302">
        <v>350.2</v>
      </c>
      <c r="R41" s="302">
        <f t="shared" si="12"/>
        <v>0</v>
      </c>
      <c r="S41" s="302"/>
      <c r="T41" s="302"/>
      <c r="U41" s="302"/>
      <c r="V41" s="302">
        <v>599.3</v>
      </c>
      <c r="W41" s="302"/>
      <c r="X41" s="300" t="s">
        <v>30</v>
      </c>
      <c r="Y41" s="300" t="s">
        <v>31</v>
      </c>
      <c r="Z41" s="305" t="s">
        <v>32</v>
      </c>
      <c r="AA41" s="305" t="s">
        <v>32</v>
      </c>
      <c r="AB41" s="305" t="s">
        <v>32</v>
      </c>
      <c r="AC41" s="305" t="s">
        <v>32</v>
      </c>
      <c r="AD41" s="296" t="s">
        <v>33</v>
      </c>
      <c r="AE41" s="296" t="s">
        <v>34</v>
      </c>
      <c r="AF41" s="296" t="s">
        <v>35</v>
      </c>
      <c r="AG41" s="357">
        <v>749</v>
      </c>
      <c r="AH41" s="357">
        <v>297</v>
      </c>
      <c r="AI41" s="319">
        <v>8.78</v>
      </c>
      <c r="AJ41" s="319"/>
      <c r="AK41" s="303">
        <f t="shared" si="13"/>
        <v>1.02</v>
      </c>
      <c r="AL41" s="293"/>
      <c r="AM41" s="332">
        <f t="shared" si="14"/>
        <v>9.799999999999999</v>
      </c>
    </row>
    <row r="42" spans="1:39" s="358" customFormat="1" ht="15">
      <c r="A42" s="331">
        <v>31</v>
      </c>
      <c r="B42" s="292"/>
      <c r="C42" s="294">
        <v>44</v>
      </c>
      <c r="D42" s="296">
        <v>2001</v>
      </c>
      <c r="E42" s="296" t="s">
        <v>28</v>
      </c>
      <c r="F42" s="296">
        <v>5</v>
      </c>
      <c r="G42" s="296" t="s">
        <v>40</v>
      </c>
      <c r="H42" s="302">
        <f>J42*1110/2836.5</f>
        <v>1309.6943416181914</v>
      </c>
      <c r="I42" s="302">
        <v>14474</v>
      </c>
      <c r="J42" s="302">
        <f t="shared" si="11"/>
        <v>3346.8</v>
      </c>
      <c r="K42" s="395">
        <f>2789</f>
        <v>2789</v>
      </c>
      <c r="L42" s="356"/>
      <c r="M42" s="304">
        <v>0</v>
      </c>
      <c r="N42" s="299">
        <v>28</v>
      </c>
      <c r="O42" s="294">
        <v>0</v>
      </c>
      <c r="P42" s="296">
        <v>3</v>
      </c>
      <c r="Q42" s="302">
        <v>346.3</v>
      </c>
      <c r="R42" s="311">
        <f t="shared" si="12"/>
        <v>211.5</v>
      </c>
      <c r="S42" s="302"/>
      <c r="T42" s="311">
        <v>211.5</v>
      </c>
      <c r="U42" s="302">
        <v>211.5</v>
      </c>
      <c r="V42" s="302">
        <v>604.1</v>
      </c>
      <c r="W42" s="302"/>
      <c r="X42" s="300" t="s">
        <v>30</v>
      </c>
      <c r="Y42" s="300" t="s">
        <v>31</v>
      </c>
      <c r="Z42" s="305" t="s">
        <v>32</v>
      </c>
      <c r="AA42" s="305" t="s">
        <v>32</v>
      </c>
      <c r="AB42" s="305" t="s">
        <v>32</v>
      </c>
      <c r="AC42" s="305" t="s">
        <v>32</v>
      </c>
      <c r="AD42" s="296" t="s">
        <v>33</v>
      </c>
      <c r="AE42" s="296" t="s">
        <v>34</v>
      </c>
      <c r="AF42" s="296" t="s">
        <v>35</v>
      </c>
      <c r="AG42" s="357">
        <v>749</v>
      </c>
      <c r="AH42" s="357">
        <v>297</v>
      </c>
      <c r="AI42" s="306">
        <v>8.78</v>
      </c>
      <c r="AJ42" s="306"/>
      <c r="AK42" s="303">
        <f t="shared" si="13"/>
        <v>1.02</v>
      </c>
      <c r="AL42" s="293"/>
      <c r="AM42" s="332">
        <f t="shared" si="14"/>
        <v>9.799999999999999</v>
      </c>
    </row>
    <row r="43" spans="1:39" s="358" customFormat="1" ht="15">
      <c r="A43" s="331">
        <v>32</v>
      </c>
      <c r="B43" s="292"/>
      <c r="C43" s="294">
        <v>45</v>
      </c>
      <c r="D43" s="296">
        <v>2001</v>
      </c>
      <c r="E43" s="296" t="s">
        <v>28</v>
      </c>
      <c r="F43" s="296">
        <v>5</v>
      </c>
      <c r="G43" s="296" t="s">
        <v>40</v>
      </c>
      <c r="H43" s="302">
        <f>J43*1110/2836.5</f>
        <v>1243.3643574828134</v>
      </c>
      <c r="I43" s="302">
        <v>16928</v>
      </c>
      <c r="J43" s="302">
        <f t="shared" si="11"/>
        <v>3177.3</v>
      </c>
      <c r="K43" s="395">
        <f>2719.6</f>
        <v>2719.6</v>
      </c>
      <c r="L43" s="356"/>
      <c r="M43" s="304">
        <v>0</v>
      </c>
      <c r="N43" s="299">
        <v>29</v>
      </c>
      <c r="O43" s="294">
        <v>0</v>
      </c>
      <c r="P43" s="296">
        <v>3</v>
      </c>
      <c r="Q43" s="302">
        <v>354.8</v>
      </c>
      <c r="R43" s="311">
        <f t="shared" si="12"/>
        <v>102.9</v>
      </c>
      <c r="S43" s="302"/>
      <c r="T43" s="311">
        <v>102.9</v>
      </c>
      <c r="U43" s="302">
        <v>102.9</v>
      </c>
      <c r="V43" s="302">
        <v>613</v>
      </c>
      <c r="W43" s="302"/>
      <c r="X43" s="300" t="s">
        <v>30</v>
      </c>
      <c r="Y43" s="300" t="s">
        <v>31</v>
      </c>
      <c r="Z43" s="305" t="s">
        <v>32</v>
      </c>
      <c r="AA43" s="305" t="s">
        <v>32</v>
      </c>
      <c r="AB43" s="305" t="s">
        <v>32</v>
      </c>
      <c r="AC43" s="305" t="s">
        <v>32</v>
      </c>
      <c r="AD43" s="296" t="s">
        <v>33</v>
      </c>
      <c r="AE43" s="296" t="s">
        <v>34</v>
      </c>
      <c r="AF43" s="296" t="s">
        <v>35</v>
      </c>
      <c r="AG43" s="357">
        <v>749</v>
      </c>
      <c r="AH43" s="357">
        <v>297</v>
      </c>
      <c r="AI43" s="306">
        <v>8.78</v>
      </c>
      <c r="AJ43" s="306"/>
      <c r="AK43" s="303">
        <f t="shared" si="13"/>
        <v>1.02</v>
      </c>
      <c r="AL43" s="293"/>
      <c r="AM43" s="332">
        <f t="shared" si="14"/>
        <v>9.799999999999999</v>
      </c>
    </row>
    <row r="44" spans="1:39" s="358" customFormat="1" ht="15">
      <c r="A44" s="331">
        <v>33</v>
      </c>
      <c r="B44" s="292"/>
      <c r="C44" s="294">
        <v>46</v>
      </c>
      <c r="D44" s="296">
        <v>1996</v>
      </c>
      <c r="E44" s="296" t="s">
        <v>28</v>
      </c>
      <c r="F44" s="296">
        <v>5</v>
      </c>
      <c r="G44" s="296" t="s">
        <v>38</v>
      </c>
      <c r="H44" s="302">
        <f>V44</f>
        <v>1262</v>
      </c>
      <c r="I44" s="302">
        <f>14135+8809</f>
        <v>22944</v>
      </c>
      <c r="J44" s="302">
        <f t="shared" si="11"/>
        <v>6124.1</v>
      </c>
      <c r="K44" s="356">
        <f>5407.3-R44</f>
        <v>5407.3</v>
      </c>
      <c r="L44" s="356"/>
      <c r="M44" s="304">
        <v>689</v>
      </c>
      <c r="N44" s="299">
        <v>110</v>
      </c>
      <c r="O44" s="294">
        <v>13</v>
      </c>
      <c r="P44" s="296">
        <v>8</v>
      </c>
      <c r="Q44" s="320">
        <v>716.8</v>
      </c>
      <c r="R44" s="302">
        <f t="shared" si="12"/>
        <v>0</v>
      </c>
      <c r="S44" s="320"/>
      <c r="T44" s="320"/>
      <c r="U44" s="302">
        <f>V44+(76.6-13.9)</f>
        <v>1324.7</v>
      </c>
      <c r="V44" s="302">
        <f>767.3+494.7</f>
        <v>1262</v>
      </c>
      <c r="W44" s="302"/>
      <c r="X44" s="300" t="s">
        <v>30</v>
      </c>
      <c r="Y44" s="300" t="s">
        <v>31</v>
      </c>
      <c r="Z44" s="305" t="s">
        <v>32</v>
      </c>
      <c r="AA44" s="305" t="s">
        <v>32</v>
      </c>
      <c r="AB44" s="305" t="s">
        <v>32</v>
      </c>
      <c r="AC44" s="305" t="s">
        <v>32</v>
      </c>
      <c r="AD44" s="296" t="s">
        <v>33</v>
      </c>
      <c r="AE44" s="296" t="s">
        <v>34</v>
      </c>
      <c r="AF44" s="296" t="s">
        <v>35</v>
      </c>
      <c r="AG44" s="357">
        <v>510</v>
      </c>
      <c r="AH44" s="357">
        <v>918</v>
      </c>
      <c r="AI44" s="306">
        <v>9.01</v>
      </c>
      <c r="AJ44" s="306"/>
      <c r="AK44" s="303">
        <f t="shared" si="13"/>
        <v>1.02</v>
      </c>
      <c r="AL44" s="293"/>
      <c r="AM44" s="332">
        <f t="shared" si="14"/>
        <v>10.03</v>
      </c>
    </row>
    <row r="45" spans="1:39" s="358" customFormat="1" ht="15.75" customHeight="1">
      <c r="A45" s="331">
        <v>34</v>
      </c>
      <c r="B45" s="292" t="s">
        <v>41</v>
      </c>
      <c r="C45" s="294">
        <v>1</v>
      </c>
      <c r="D45" s="296">
        <v>1979</v>
      </c>
      <c r="E45" s="296" t="s">
        <v>28</v>
      </c>
      <c r="F45" s="296">
        <v>5</v>
      </c>
      <c r="G45" s="296" t="s">
        <v>38</v>
      </c>
      <c r="H45" s="302">
        <f>V45</f>
        <v>380.2</v>
      </c>
      <c r="I45" s="302">
        <v>7484</v>
      </c>
      <c r="J45" s="302">
        <f t="shared" si="11"/>
        <v>1931.6000000000001</v>
      </c>
      <c r="K45" s="395">
        <f>1755.4-R45</f>
        <v>1716.1000000000001</v>
      </c>
      <c r="L45" s="356"/>
      <c r="M45" s="304">
        <v>401.3</v>
      </c>
      <c r="N45" s="299">
        <v>39</v>
      </c>
      <c r="O45" s="294">
        <v>10</v>
      </c>
      <c r="P45" s="296">
        <v>2</v>
      </c>
      <c r="Q45" s="302">
        <v>176.2</v>
      </c>
      <c r="R45" s="302">
        <f t="shared" si="12"/>
        <v>39.3</v>
      </c>
      <c r="S45" s="302"/>
      <c r="T45" s="302">
        <v>39.3</v>
      </c>
      <c r="U45" s="302"/>
      <c r="V45" s="302">
        <v>380.2</v>
      </c>
      <c r="W45" s="302"/>
      <c r="X45" s="300" t="s">
        <v>30</v>
      </c>
      <c r="Y45" s="300" t="s">
        <v>31</v>
      </c>
      <c r="Z45" s="305" t="s">
        <v>32</v>
      </c>
      <c r="AA45" s="305" t="s">
        <v>32</v>
      </c>
      <c r="AB45" s="305" t="s">
        <v>32</v>
      </c>
      <c r="AC45" s="305" t="s">
        <v>32</v>
      </c>
      <c r="AD45" s="296" t="s">
        <v>33</v>
      </c>
      <c r="AE45" s="296" t="s">
        <v>34</v>
      </c>
      <c r="AF45" s="296" t="s">
        <v>35</v>
      </c>
      <c r="AG45" s="357">
        <v>580</v>
      </c>
      <c r="AH45" s="357">
        <v>515</v>
      </c>
      <c r="AI45" s="306">
        <v>9.7</v>
      </c>
      <c r="AJ45" s="306"/>
      <c r="AK45" s="303">
        <f t="shared" si="13"/>
        <v>1.02</v>
      </c>
      <c r="AL45" s="293"/>
      <c r="AM45" s="332">
        <f t="shared" si="14"/>
        <v>10.719999999999999</v>
      </c>
    </row>
    <row r="46" spans="1:39" s="358" customFormat="1" ht="15">
      <c r="A46" s="331">
        <v>35</v>
      </c>
      <c r="B46" s="292"/>
      <c r="C46" s="294">
        <v>2</v>
      </c>
      <c r="D46" s="296">
        <v>1974</v>
      </c>
      <c r="E46" s="296" t="s">
        <v>42</v>
      </c>
      <c r="F46" s="296">
        <v>5</v>
      </c>
      <c r="G46" s="296" t="s">
        <v>38</v>
      </c>
      <c r="H46" s="302">
        <f>V46</f>
        <v>814.4</v>
      </c>
      <c r="I46" s="302">
        <v>15689</v>
      </c>
      <c r="J46" s="302">
        <f t="shared" si="11"/>
        <v>4436.62</v>
      </c>
      <c r="K46" s="395">
        <f>3916.02-R46</f>
        <v>3916.02</v>
      </c>
      <c r="L46" s="356"/>
      <c r="M46" s="304">
        <v>865.8</v>
      </c>
      <c r="N46" s="299">
        <v>92</v>
      </c>
      <c r="O46" s="294">
        <v>20</v>
      </c>
      <c r="P46" s="296">
        <v>6</v>
      </c>
      <c r="Q46" s="302">
        <v>520.6</v>
      </c>
      <c r="R46" s="302">
        <f t="shared" si="12"/>
        <v>0</v>
      </c>
      <c r="S46" s="302"/>
      <c r="T46" s="302"/>
      <c r="U46" s="302"/>
      <c r="V46" s="302">
        <v>814.4</v>
      </c>
      <c r="W46" s="302"/>
      <c r="X46" s="300" t="s">
        <v>30</v>
      </c>
      <c r="Y46" s="300" t="s">
        <v>31</v>
      </c>
      <c r="Z46" s="305" t="s">
        <v>32</v>
      </c>
      <c r="AA46" s="305" t="s">
        <v>32</v>
      </c>
      <c r="AB46" s="305" t="s">
        <v>32</v>
      </c>
      <c r="AC46" s="305" t="s">
        <v>32</v>
      </c>
      <c r="AD46" s="296" t="s">
        <v>33</v>
      </c>
      <c r="AE46" s="296" t="s">
        <v>34</v>
      </c>
      <c r="AF46" s="296" t="s">
        <v>35</v>
      </c>
      <c r="AG46" s="357">
        <v>985</v>
      </c>
      <c r="AH46" s="357">
        <v>534</v>
      </c>
      <c r="AI46" s="306">
        <v>11.33</v>
      </c>
      <c r="AJ46" s="306"/>
      <c r="AK46" s="303">
        <f t="shared" si="13"/>
        <v>1.02</v>
      </c>
      <c r="AL46" s="293"/>
      <c r="AM46" s="332">
        <f t="shared" si="14"/>
        <v>12.35</v>
      </c>
    </row>
    <row r="47" spans="1:39" s="358" customFormat="1" ht="15">
      <c r="A47" s="331">
        <v>36</v>
      </c>
      <c r="B47" s="292"/>
      <c r="C47" s="294">
        <v>3</v>
      </c>
      <c r="D47" s="296">
        <v>1991</v>
      </c>
      <c r="E47" s="296" t="s">
        <v>42</v>
      </c>
      <c r="F47" s="296">
        <v>5</v>
      </c>
      <c r="G47" s="296" t="s">
        <v>38</v>
      </c>
      <c r="H47" s="302">
        <f>V47</f>
        <v>819</v>
      </c>
      <c r="I47" s="302">
        <v>11875</v>
      </c>
      <c r="J47" s="302">
        <f t="shared" si="11"/>
        <v>3493.1</v>
      </c>
      <c r="K47" s="395">
        <v>3029.1</v>
      </c>
      <c r="L47" s="356"/>
      <c r="M47" s="304">
        <v>648.4</v>
      </c>
      <c r="N47" s="299">
        <v>61</v>
      </c>
      <c r="O47" s="294">
        <v>12</v>
      </c>
      <c r="P47" s="296">
        <v>4</v>
      </c>
      <c r="Q47" s="302">
        <v>464</v>
      </c>
      <c r="R47" s="302">
        <f t="shared" si="12"/>
        <v>0</v>
      </c>
      <c r="S47" s="302"/>
      <c r="T47" s="302"/>
      <c r="U47" s="302">
        <v>819</v>
      </c>
      <c r="V47" s="302">
        <v>819</v>
      </c>
      <c r="W47" s="302"/>
      <c r="X47" s="300" t="s">
        <v>30</v>
      </c>
      <c r="Y47" s="307" t="s">
        <v>37</v>
      </c>
      <c r="Z47" s="305" t="s">
        <v>32</v>
      </c>
      <c r="AA47" s="305" t="s">
        <v>32</v>
      </c>
      <c r="AB47" s="305" t="s">
        <v>32</v>
      </c>
      <c r="AC47" s="305" t="s">
        <v>32</v>
      </c>
      <c r="AD47" s="296" t="s">
        <v>33</v>
      </c>
      <c r="AE47" s="296" t="s">
        <v>34</v>
      </c>
      <c r="AF47" s="296" t="s">
        <v>35</v>
      </c>
      <c r="AG47" s="357">
        <v>1000</v>
      </c>
      <c r="AH47" s="357">
        <v>293</v>
      </c>
      <c r="AI47" s="306">
        <v>9.58</v>
      </c>
      <c r="AJ47" s="306"/>
      <c r="AK47" s="303">
        <f t="shared" si="13"/>
        <v>1.02</v>
      </c>
      <c r="AL47" s="293"/>
      <c r="AM47" s="332">
        <f t="shared" si="14"/>
        <v>10.6</v>
      </c>
    </row>
    <row r="48" spans="1:39" s="358" customFormat="1" ht="15">
      <c r="A48" s="331">
        <v>37</v>
      </c>
      <c r="B48" s="292"/>
      <c r="C48" s="294">
        <v>4</v>
      </c>
      <c r="D48" s="296">
        <v>1992</v>
      </c>
      <c r="E48" s="296" t="s">
        <v>42</v>
      </c>
      <c r="F48" s="296">
        <v>5</v>
      </c>
      <c r="G48" s="296" t="s">
        <v>38</v>
      </c>
      <c r="H48" s="302">
        <f>V48</f>
        <v>796.1</v>
      </c>
      <c r="I48" s="302">
        <v>11106</v>
      </c>
      <c r="J48" s="302">
        <f t="shared" si="11"/>
        <v>3424.6000000000004</v>
      </c>
      <c r="K48" s="395">
        <f>2979.8-R48</f>
        <v>2979.8</v>
      </c>
      <c r="L48" s="356"/>
      <c r="M48" s="304">
        <v>266.4</v>
      </c>
      <c r="N48" s="299">
        <v>61</v>
      </c>
      <c r="O48" s="294">
        <v>5</v>
      </c>
      <c r="P48" s="296">
        <v>4</v>
      </c>
      <c r="Q48" s="302">
        <v>444.8</v>
      </c>
      <c r="R48" s="302">
        <f t="shared" si="12"/>
        <v>0</v>
      </c>
      <c r="S48" s="302"/>
      <c r="T48" s="302"/>
      <c r="U48" s="302">
        <v>796.1</v>
      </c>
      <c r="V48" s="302">
        <v>796.1</v>
      </c>
      <c r="W48" s="302"/>
      <c r="X48" s="300" t="s">
        <v>30</v>
      </c>
      <c r="Y48" s="307" t="s">
        <v>37</v>
      </c>
      <c r="Z48" s="305" t="s">
        <v>32</v>
      </c>
      <c r="AA48" s="305" t="s">
        <v>32</v>
      </c>
      <c r="AB48" s="305" t="s">
        <v>32</v>
      </c>
      <c r="AC48" s="305" t="s">
        <v>32</v>
      </c>
      <c r="AD48" s="296" t="s">
        <v>33</v>
      </c>
      <c r="AE48" s="296" t="s">
        <v>34</v>
      </c>
      <c r="AF48" s="296" t="s">
        <v>35</v>
      </c>
      <c r="AG48" s="357">
        <v>725</v>
      </c>
      <c r="AH48" s="357">
        <v>464</v>
      </c>
      <c r="AI48" s="306">
        <v>9.58</v>
      </c>
      <c r="AJ48" s="306"/>
      <c r="AK48" s="303">
        <f t="shared" si="13"/>
        <v>1.02</v>
      </c>
      <c r="AL48" s="293"/>
      <c r="AM48" s="332">
        <f t="shared" si="14"/>
        <v>10.6</v>
      </c>
    </row>
    <row r="49" spans="1:39" s="358" customFormat="1" ht="15">
      <c r="A49" s="331">
        <v>38</v>
      </c>
      <c r="B49" s="292"/>
      <c r="C49" s="294">
        <v>5</v>
      </c>
      <c r="D49" s="296">
        <v>1985</v>
      </c>
      <c r="E49" s="296" t="s">
        <v>28</v>
      </c>
      <c r="F49" s="296">
        <v>5</v>
      </c>
      <c r="G49" s="296" t="s">
        <v>38</v>
      </c>
      <c r="H49" s="302">
        <f>J49*1169.6/4500.3</f>
        <v>1216.2535333200008</v>
      </c>
      <c r="I49" s="302">
        <v>16880</v>
      </c>
      <c r="J49" s="302">
        <f t="shared" si="11"/>
        <v>4679.81</v>
      </c>
      <c r="K49" s="395">
        <f>4187.31-R49</f>
        <v>4187.31</v>
      </c>
      <c r="L49" s="356"/>
      <c r="M49" s="304">
        <v>849.6</v>
      </c>
      <c r="N49" s="299">
        <v>82</v>
      </c>
      <c r="O49" s="294">
        <v>15</v>
      </c>
      <c r="P49" s="296">
        <v>6</v>
      </c>
      <c r="Q49" s="302">
        <v>492.5</v>
      </c>
      <c r="R49" s="302">
        <f t="shared" si="12"/>
        <v>0</v>
      </c>
      <c r="S49" s="302"/>
      <c r="T49" s="302"/>
      <c r="U49" s="302">
        <v>1164</v>
      </c>
      <c r="V49" s="302"/>
      <c r="W49" s="302"/>
      <c r="X49" s="300" t="s">
        <v>30</v>
      </c>
      <c r="Y49" s="307" t="s">
        <v>37</v>
      </c>
      <c r="Z49" s="305" t="s">
        <v>32</v>
      </c>
      <c r="AA49" s="305" t="s">
        <v>32</v>
      </c>
      <c r="AB49" s="305" t="s">
        <v>32</v>
      </c>
      <c r="AC49" s="305" t="s">
        <v>32</v>
      </c>
      <c r="AD49" s="296" t="s">
        <v>33</v>
      </c>
      <c r="AE49" s="296" t="s">
        <v>34</v>
      </c>
      <c r="AF49" s="296" t="s">
        <v>35</v>
      </c>
      <c r="AG49" s="357">
        <v>882</v>
      </c>
      <c r="AH49" s="357">
        <v>613</v>
      </c>
      <c r="AI49" s="306">
        <v>9.45</v>
      </c>
      <c r="AJ49" s="306"/>
      <c r="AK49" s="303">
        <f t="shared" si="13"/>
        <v>1.02</v>
      </c>
      <c r="AL49" s="293"/>
      <c r="AM49" s="332">
        <f t="shared" si="14"/>
        <v>10.469999999999999</v>
      </c>
    </row>
    <row r="50" spans="1:39" s="358" customFormat="1" ht="15">
      <c r="A50" s="331">
        <v>39</v>
      </c>
      <c r="B50" s="292"/>
      <c r="C50" s="294">
        <v>6</v>
      </c>
      <c r="D50" s="296">
        <v>1982</v>
      </c>
      <c r="E50" s="296" t="s">
        <v>28</v>
      </c>
      <c r="F50" s="296">
        <v>5</v>
      </c>
      <c r="G50" s="296" t="s">
        <v>38</v>
      </c>
      <c r="H50" s="302">
        <f>J50*1169.6/4500.3</f>
        <v>1219.1097660155988</v>
      </c>
      <c r="I50" s="302">
        <v>17552</v>
      </c>
      <c r="J50" s="302">
        <f t="shared" si="11"/>
        <v>4690.8</v>
      </c>
      <c r="K50" s="356">
        <f>4173.8-R50</f>
        <v>4173.8</v>
      </c>
      <c r="L50" s="356"/>
      <c r="M50" s="304">
        <v>852.3</v>
      </c>
      <c r="N50" s="299">
        <v>79</v>
      </c>
      <c r="O50" s="294">
        <v>15</v>
      </c>
      <c r="P50" s="296">
        <v>6</v>
      </c>
      <c r="Q50" s="302">
        <v>517</v>
      </c>
      <c r="R50" s="302">
        <f t="shared" si="12"/>
        <v>0</v>
      </c>
      <c r="S50" s="302"/>
      <c r="T50" s="302"/>
      <c r="U50" s="302">
        <v>1164</v>
      </c>
      <c r="V50" s="302"/>
      <c r="W50" s="302"/>
      <c r="X50" s="300" t="s">
        <v>30</v>
      </c>
      <c r="Y50" s="307" t="s">
        <v>37</v>
      </c>
      <c r="Z50" s="305" t="s">
        <v>32</v>
      </c>
      <c r="AA50" s="305" t="s">
        <v>32</v>
      </c>
      <c r="AB50" s="305" t="s">
        <v>32</v>
      </c>
      <c r="AC50" s="305" t="s">
        <v>32</v>
      </c>
      <c r="AD50" s="296" t="s">
        <v>33</v>
      </c>
      <c r="AE50" s="296" t="s">
        <v>34</v>
      </c>
      <c r="AF50" s="296" t="s">
        <v>35</v>
      </c>
      <c r="AG50" s="357">
        <v>1475</v>
      </c>
      <c r="AH50" s="357">
        <v>489</v>
      </c>
      <c r="AI50" s="306">
        <v>9.45</v>
      </c>
      <c r="AJ50" s="306"/>
      <c r="AK50" s="303">
        <f t="shared" si="13"/>
        <v>1.02</v>
      </c>
      <c r="AL50" s="293"/>
      <c r="AM50" s="332">
        <f t="shared" si="14"/>
        <v>10.469999999999999</v>
      </c>
    </row>
    <row r="51" spans="1:39" s="450" customFormat="1" ht="15">
      <c r="A51" s="437">
        <v>40</v>
      </c>
      <c r="B51" s="438"/>
      <c r="C51" s="439">
        <v>8</v>
      </c>
      <c r="D51" s="323">
        <v>1978</v>
      </c>
      <c r="E51" s="323" t="s">
        <v>28</v>
      </c>
      <c r="F51" s="323">
        <v>5</v>
      </c>
      <c r="G51" s="323" t="s">
        <v>38</v>
      </c>
      <c r="H51" s="440">
        <f>V51</f>
        <v>752.7</v>
      </c>
      <c r="I51" s="440">
        <v>13061</v>
      </c>
      <c r="J51" s="440">
        <f t="shared" si="11"/>
        <v>3714.7999999999997</v>
      </c>
      <c r="K51" s="441">
        <f>3380.6-R51</f>
        <v>3380.6</v>
      </c>
      <c r="L51" s="441"/>
      <c r="M51" s="442">
        <v>736.1</v>
      </c>
      <c r="N51" s="443">
        <v>70</v>
      </c>
      <c r="O51" s="439">
        <v>15</v>
      </c>
      <c r="P51" s="323">
        <v>4</v>
      </c>
      <c r="Q51" s="440">
        <v>334.2</v>
      </c>
      <c r="R51" s="440">
        <f t="shared" si="12"/>
        <v>0</v>
      </c>
      <c r="S51" s="440"/>
      <c r="T51" s="440"/>
      <c r="U51" s="440"/>
      <c r="V51" s="440">
        <v>752.7</v>
      </c>
      <c r="W51" s="440"/>
      <c r="X51" s="444" t="s">
        <v>30</v>
      </c>
      <c r="Y51" s="444" t="s">
        <v>31</v>
      </c>
      <c r="Z51" s="445" t="s">
        <v>32</v>
      </c>
      <c r="AA51" s="445" t="s">
        <v>32</v>
      </c>
      <c r="AB51" s="445" t="s">
        <v>32</v>
      </c>
      <c r="AC51" s="445" t="s">
        <v>32</v>
      </c>
      <c r="AD51" s="323" t="s">
        <v>33</v>
      </c>
      <c r="AE51" s="323" t="s">
        <v>34</v>
      </c>
      <c r="AF51" s="323" t="s">
        <v>35</v>
      </c>
      <c r="AG51" s="446">
        <v>703</v>
      </c>
      <c r="AH51" s="446">
        <v>1430</v>
      </c>
      <c r="AI51" s="447">
        <v>10.52</v>
      </c>
      <c r="AJ51" s="447">
        <v>2.78</v>
      </c>
      <c r="AK51" s="448">
        <f t="shared" si="13"/>
        <v>1.02</v>
      </c>
      <c r="AL51" s="448"/>
      <c r="AM51" s="449">
        <f t="shared" si="14"/>
        <v>14.319999999999999</v>
      </c>
    </row>
    <row r="52" spans="1:39" s="358" customFormat="1" ht="15">
      <c r="A52" s="331">
        <v>41</v>
      </c>
      <c r="B52" s="292"/>
      <c r="C52" s="294">
        <v>9</v>
      </c>
      <c r="D52" s="296">
        <v>1973</v>
      </c>
      <c r="E52" s="296" t="s">
        <v>42</v>
      </c>
      <c r="F52" s="296">
        <v>5</v>
      </c>
      <c r="G52" s="296" t="s">
        <v>38</v>
      </c>
      <c r="H52" s="302">
        <f>V52</f>
        <v>539.4</v>
      </c>
      <c r="I52" s="302">
        <v>10466</v>
      </c>
      <c r="J52" s="302">
        <f t="shared" si="11"/>
        <v>2952.3</v>
      </c>
      <c r="K52" s="356">
        <f>2617.5-R52</f>
        <v>2617.5</v>
      </c>
      <c r="L52" s="356"/>
      <c r="M52" s="304">
        <v>458.7</v>
      </c>
      <c r="N52" s="299">
        <v>60</v>
      </c>
      <c r="O52" s="294">
        <v>10</v>
      </c>
      <c r="P52" s="296">
        <v>4</v>
      </c>
      <c r="Q52" s="302">
        <v>334.8</v>
      </c>
      <c r="R52" s="302">
        <f t="shared" si="12"/>
        <v>0</v>
      </c>
      <c r="S52" s="302"/>
      <c r="T52" s="302"/>
      <c r="U52" s="302"/>
      <c r="V52" s="302">
        <v>539.4</v>
      </c>
      <c r="W52" s="302"/>
      <c r="X52" s="300" t="s">
        <v>30</v>
      </c>
      <c r="Y52" s="300" t="s">
        <v>31</v>
      </c>
      <c r="Z52" s="305" t="s">
        <v>32</v>
      </c>
      <c r="AA52" s="305" t="s">
        <v>32</v>
      </c>
      <c r="AB52" s="305" t="s">
        <v>32</v>
      </c>
      <c r="AC52" s="305" t="s">
        <v>32</v>
      </c>
      <c r="AD52" s="296" t="s">
        <v>33</v>
      </c>
      <c r="AE52" s="296" t="s">
        <v>34</v>
      </c>
      <c r="AF52" s="296" t="s">
        <v>35</v>
      </c>
      <c r="AG52" s="357">
        <v>878</v>
      </c>
      <c r="AH52" s="357">
        <v>564</v>
      </c>
      <c r="AI52" s="306">
        <v>11.33</v>
      </c>
      <c r="AJ52" s="306"/>
      <c r="AK52" s="303">
        <f t="shared" si="13"/>
        <v>1.02</v>
      </c>
      <c r="AL52" s="293"/>
      <c r="AM52" s="332">
        <f t="shared" si="14"/>
        <v>12.35</v>
      </c>
    </row>
    <row r="53" spans="1:39" ht="15">
      <c r="A53" s="331">
        <v>42</v>
      </c>
      <c r="B53" s="293" t="s">
        <v>43</v>
      </c>
      <c r="C53" s="294">
        <v>1</v>
      </c>
      <c r="D53" s="296">
        <v>1960</v>
      </c>
      <c r="E53" s="296" t="s">
        <v>28</v>
      </c>
      <c r="F53" s="297">
        <v>2</v>
      </c>
      <c r="G53" s="296" t="s">
        <v>29</v>
      </c>
      <c r="H53" s="302">
        <f>J53*288/342.6</f>
        <v>560.6164623467599</v>
      </c>
      <c r="I53" s="302">
        <f>J53*I56/J56</f>
        <v>2733.8879576532863</v>
      </c>
      <c r="J53" s="302">
        <f t="shared" si="11"/>
        <v>666.9</v>
      </c>
      <c r="K53" s="395">
        <v>631.1</v>
      </c>
      <c r="L53" s="356"/>
      <c r="M53" s="304">
        <v>84.7</v>
      </c>
      <c r="N53" s="299">
        <v>16</v>
      </c>
      <c r="O53" s="299">
        <v>2</v>
      </c>
      <c r="P53" s="296">
        <v>2</v>
      </c>
      <c r="Q53" s="302">
        <v>35.8</v>
      </c>
      <c r="R53" s="302">
        <f t="shared" si="12"/>
        <v>0</v>
      </c>
      <c r="S53" s="302"/>
      <c r="T53" s="302"/>
      <c r="U53" s="320">
        <v>720</v>
      </c>
      <c r="V53" s="320">
        <v>720</v>
      </c>
      <c r="W53" s="320"/>
      <c r="X53" s="300" t="s">
        <v>30</v>
      </c>
      <c r="Y53" s="300" t="s">
        <v>31</v>
      </c>
      <c r="Z53" s="305" t="s">
        <v>32</v>
      </c>
      <c r="AA53" s="305" t="s">
        <v>32</v>
      </c>
      <c r="AB53" s="305" t="s">
        <v>32</v>
      </c>
      <c r="AC53" s="305" t="s">
        <v>52</v>
      </c>
      <c r="AD53" s="296" t="s">
        <v>33</v>
      </c>
      <c r="AE53" s="296" t="s">
        <v>34</v>
      </c>
      <c r="AF53" s="296" t="s">
        <v>35</v>
      </c>
      <c r="AG53" s="363">
        <v>276</v>
      </c>
      <c r="AH53" s="363">
        <v>257</v>
      </c>
      <c r="AI53" s="306">
        <v>8.14</v>
      </c>
      <c r="AJ53" s="306"/>
      <c r="AK53" s="303">
        <f t="shared" si="13"/>
        <v>1.02</v>
      </c>
      <c r="AL53" s="303"/>
      <c r="AM53" s="332">
        <f t="shared" si="14"/>
        <v>9.16</v>
      </c>
    </row>
    <row r="54" spans="1:39" ht="15">
      <c r="A54" s="331">
        <v>43</v>
      </c>
      <c r="B54" s="292"/>
      <c r="C54" s="294">
        <v>2</v>
      </c>
      <c r="D54" s="296">
        <v>1958</v>
      </c>
      <c r="E54" s="296" t="s">
        <v>28</v>
      </c>
      <c r="F54" s="296">
        <v>2</v>
      </c>
      <c r="G54" s="296" t="s">
        <v>29</v>
      </c>
      <c r="H54" s="302">
        <f>J54*288/342.6</f>
        <v>562.1295971978984</v>
      </c>
      <c r="I54" s="302">
        <f>J54*I53/J53</f>
        <v>2741.2668725187477</v>
      </c>
      <c r="J54" s="302">
        <f t="shared" si="11"/>
        <v>668.7</v>
      </c>
      <c r="K54" s="395">
        <v>617.7</v>
      </c>
      <c r="L54" s="356"/>
      <c r="M54" s="304">
        <v>80.7</v>
      </c>
      <c r="N54" s="299">
        <v>16</v>
      </c>
      <c r="O54" s="294">
        <v>2</v>
      </c>
      <c r="P54" s="296">
        <v>2</v>
      </c>
      <c r="Q54" s="302">
        <v>51</v>
      </c>
      <c r="R54" s="302">
        <f t="shared" si="12"/>
        <v>0</v>
      </c>
      <c r="S54" s="302"/>
      <c r="T54" s="302"/>
      <c r="U54" s="320">
        <v>740</v>
      </c>
      <c r="V54" s="320">
        <v>740</v>
      </c>
      <c r="W54" s="320"/>
      <c r="X54" s="300" t="s">
        <v>30</v>
      </c>
      <c r="Y54" s="300" t="s">
        <v>31</v>
      </c>
      <c r="Z54" s="305" t="s">
        <v>32</v>
      </c>
      <c r="AA54" s="305" t="s">
        <v>32</v>
      </c>
      <c r="AB54" s="305" t="s">
        <v>32</v>
      </c>
      <c r="AC54" s="305" t="s">
        <v>52</v>
      </c>
      <c r="AD54" s="296" t="s">
        <v>33</v>
      </c>
      <c r="AE54" s="296" t="s">
        <v>34</v>
      </c>
      <c r="AF54" s="296" t="s">
        <v>35</v>
      </c>
      <c r="AG54" s="363">
        <v>276</v>
      </c>
      <c r="AH54" s="363">
        <v>257</v>
      </c>
      <c r="AI54" s="306">
        <v>8.14</v>
      </c>
      <c r="AJ54" s="306"/>
      <c r="AK54" s="303">
        <f t="shared" si="13"/>
        <v>1.02</v>
      </c>
      <c r="AL54" s="303"/>
      <c r="AM54" s="332">
        <f t="shared" si="14"/>
        <v>9.16</v>
      </c>
    </row>
    <row r="55" spans="1:39" s="450" customFormat="1" ht="15">
      <c r="A55" s="437">
        <v>44</v>
      </c>
      <c r="B55" s="438"/>
      <c r="C55" s="439">
        <v>3</v>
      </c>
      <c r="D55" s="323">
        <v>1969</v>
      </c>
      <c r="E55" s="323" t="s">
        <v>28</v>
      </c>
      <c r="F55" s="323">
        <v>4</v>
      </c>
      <c r="G55" s="323" t="s">
        <v>29</v>
      </c>
      <c r="H55" s="440">
        <f>35.1*12.8*1.3</f>
        <v>584.0640000000001</v>
      </c>
      <c r="I55" s="440">
        <v>4242</v>
      </c>
      <c r="J55" s="440">
        <f t="shared" si="11"/>
        <v>1394.8</v>
      </c>
      <c r="K55" s="441">
        <f>1285.7-R55</f>
        <v>1213</v>
      </c>
      <c r="L55" s="441"/>
      <c r="M55" s="442">
        <v>229.7</v>
      </c>
      <c r="N55" s="443">
        <v>30</v>
      </c>
      <c r="O55" s="439">
        <v>5</v>
      </c>
      <c r="P55" s="323">
        <v>2</v>
      </c>
      <c r="Q55" s="440">
        <v>109.1</v>
      </c>
      <c r="R55" s="440">
        <f t="shared" si="12"/>
        <v>72.7</v>
      </c>
      <c r="S55" s="440">
        <v>72.7</v>
      </c>
      <c r="T55" s="440"/>
      <c r="U55" s="440"/>
      <c r="V55" s="440">
        <v>266.2</v>
      </c>
      <c r="W55" s="440"/>
      <c r="X55" s="444" t="s">
        <v>30</v>
      </c>
      <c r="Y55" s="444" t="s">
        <v>31</v>
      </c>
      <c r="Z55" s="445" t="s">
        <v>32</v>
      </c>
      <c r="AA55" s="445" t="s">
        <v>32</v>
      </c>
      <c r="AB55" s="445" t="s">
        <v>32</v>
      </c>
      <c r="AC55" s="445" t="s">
        <v>32</v>
      </c>
      <c r="AD55" s="323" t="s">
        <v>33</v>
      </c>
      <c r="AE55" s="323" t="s">
        <v>34</v>
      </c>
      <c r="AF55" s="323" t="s">
        <v>35</v>
      </c>
      <c r="AG55" s="446">
        <v>276</v>
      </c>
      <c r="AH55" s="446">
        <v>257</v>
      </c>
      <c r="AI55" s="447">
        <v>17.9</v>
      </c>
      <c r="AJ55" s="447">
        <v>2.78</v>
      </c>
      <c r="AK55" s="448">
        <f t="shared" si="13"/>
        <v>1.02</v>
      </c>
      <c r="AL55" s="448"/>
      <c r="AM55" s="449">
        <f t="shared" si="14"/>
        <v>21.7</v>
      </c>
    </row>
    <row r="56" spans="1:39" s="358" customFormat="1" ht="15">
      <c r="A56" s="331">
        <v>45</v>
      </c>
      <c r="B56" s="292"/>
      <c r="C56" s="294">
        <v>4</v>
      </c>
      <c r="D56" s="296">
        <v>1960</v>
      </c>
      <c r="E56" s="296" t="s">
        <v>28</v>
      </c>
      <c r="F56" s="296">
        <v>2</v>
      </c>
      <c r="G56" s="296" t="s">
        <v>29</v>
      </c>
      <c r="H56" s="302">
        <f>J56*288/342.6</f>
        <v>571.7127845884413</v>
      </c>
      <c r="I56" s="302">
        <v>2788</v>
      </c>
      <c r="J56" s="302">
        <f t="shared" si="11"/>
        <v>680.1</v>
      </c>
      <c r="K56" s="356">
        <v>631.1</v>
      </c>
      <c r="L56" s="356"/>
      <c r="M56" s="304">
        <v>0</v>
      </c>
      <c r="N56" s="299">
        <v>16</v>
      </c>
      <c r="O56" s="294">
        <v>0</v>
      </c>
      <c r="P56" s="296">
        <v>2</v>
      </c>
      <c r="Q56" s="302">
        <v>49</v>
      </c>
      <c r="R56" s="302">
        <f t="shared" si="12"/>
        <v>0</v>
      </c>
      <c r="S56" s="302"/>
      <c r="T56" s="302"/>
      <c r="U56" s="302"/>
      <c r="V56" s="302">
        <v>56.6</v>
      </c>
      <c r="W56" s="302"/>
      <c r="X56" s="300" t="s">
        <v>30</v>
      </c>
      <c r="Y56" s="300" t="s">
        <v>31</v>
      </c>
      <c r="Z56" s="305" t="s">
        <v>32</v>
      </c>
      <c r="AA56" s="305" t="s">
        <v>32</v>
      </c>
      <c r="AB56" s="305" t="s">
        <v>32</v>
      </c>
      <c r="AC56" s="305" t="s">
        <v>52</v>
      </c>
      <c r="AD56" s="296" t="s">
        <v>33</v>
      </c>
      <c r="AE56" s="296" t="s">
        <v>34</v>
      </c>
      <c r="AF56" s="296" t="s">
        <v>35</v>
      </c>
      <c r="AG56" s="363">
        <v>276</v>
      </c>
      <c r="AH56" s="363">
        <v>257</v>
      </c>
      <c r="AI56" s="319">
        <v>8</v>
      </c>
      <c r="AJ56" s="319"/>
      <c r="AK56" s="303">
        <f t="shared" si="13"/>
        <v>1.02</v>
      </c>
      <c r="AL56" s="293"/>
      <c r="AM56" s="332">
        <f t="shared" si="14"/>
        <v>9.02</v>
      </c>
    </row>
    <row r="57" spans="1:39" s="358" customFormat="1" ht="15">
      <c r="A57" s="331">
        <v>46</v>
      </c>
      <c r="B57" s="292"/>
      <c r="C57" s="294">
        <v>5</v>
      </c>
      <c r="D57" s="296">
        <v>1960</v>
      </c>
      <c r="E57" s="296" t="s">
        <v>28</v>
      </c>
      <c r="F57" s="296">
        <v>2</v>
      </c>
      <c r="G57" s="296" t="s">
        <v>29</v>
      </c>
      <c r="H57" s="302">
        <f>J57*288/342.6</f>
        <v>570.4518388791594</v>
      </c>
      <c r="I57" s="302">
        <v>2563</v>
      </c>
      <c r="J57" s="302">
        <f t="shared" si="11"/>
        <v>678.6</v>
      </c>
      <c r="K57" s="395">
        <v>621.7</v>
      </c>
      <c r="L57" s="356"/>
      <c r="M57" s="304">
        <v>167</v>
      </c>
      <c r="N57" s="299">
        <v>16</v>
      </c>
      <c r="O57" s="294">
        <v>4</v>
      </c>
      <c r="P57" s="296">
        <v>2</v>
      </c>
      <c r="Q57" s="302">
        <v>56.9</v>
      </c>
      <c r="R57" s="302">
        <f t="shared" si="12"/>
        <v>0</v>
      </c>
      <c r="S57" s="302"/>
      <c r="T57" s="302"/>
      <c r="U57" s="302"/>
      <c r="V57" s="302">
        <v>56.9</v>
      </c>
      <c r="W57" s="302"/>
      <c r="X57" s="300" t="s">
        <v>30</v>
      </c>
      <c r="Y57" s="300" t="s">
        <v>31</v>
      </c>
      <c r="Z57" s="305" t="s">
        <v>32</v>
      </c>
      <c r="AA57" s="305" t="s">
        <v>32</v>
      </c>
      <c r="AB57" s="305" t="s">
        <v>32</v>
      </c>
      <c r="AC57" s="305" t="s">
        <v>52</v>
      </c>
      <c r="AD57" s="296" t="s">
        <v>33</v>
      </c>
      <c r="AE57" s="296" t="s">
        <v>34</v>
      </c>
      <c r="AF57" s="296" t="s">
        <v>35</v>
      </c>
      <c r="AG57" s="363">
        <v>276</v>
      </c>
      <c r="AH57" s="363">
        <v>257</v>
      </c>
      <c r="AI57" s="306">
        <v>8</v>
      </c>
      <c r="AJ57" s="306"/>
      <c r="AK57" s="303">
        <f t="shared" si="13"/>
        <v>1.02</v>
      </c>
      <c r="AL57" s="293"/>
      <c r="AM57" s="332">
        <f t="shared" si="14"/>
        <v>9.02</v>
      </c>
    </row>
    <row r="58" spans="1:39" s="358" customFormat="1" ht="15">
      <c r="A58" s="331">
        <v>47</v>
      </c>
      <c r="B58" s="292"/>
      <c r="C58" s="294">
        <v>6</v>
      </c>
      <c r="D58" s="296">
        <v>1960</v>
      </c>
      <c r="E58" s="296" t="s">
        <v>28</v>
      </c>
      <c r="F58" s="296">
        <v>2</v>
      </c>
      <c r="G58" s="296" t="s">
        <v>29</v>
      </c>
      <c r="H58" s="302">
        <f>J58*288/342.6</f>
        <v>561.3730297723292</v>
      </c>
      <c r="I58" s="302">
        <v>2812</v>
      </c>
      <c r="J58" s="302">
        <f t="shared" si="11"/>
        <v>667.8000000000001</v>
      </c>
      <c r="K58" s="356">
        <v>622.2</v>
      </c>
      <c r="L58" s="356"/>
      <c r="M58" s="304">
        <v>87.7</v>
      </c>
      <c r="N58" s="299">
        <v>16</v>
      </c>
      <c r="O58" s="294">
        <v>2</v>
      </c>
      <c r="P58" s="296">
        <v>2</v>
      </c>
      <c r="Q58" s="302">
        <v>45.6</v>
      </c>
      <c r="R58" s="302">
        <f t="shared" si="12"/>
        <v>0</v>
      </c>
      <c r="S58" s="302"/>
      <c r="T58" s="302"/>
      <c r="U58" s="302"/>
      <c r="V58" s="302"/>
      <c r="W58" s="302"/>
      <c r="X58" s="300" t="s">
        <v>30</v>
      </c>
      <c r="Y58" s="300" t="s">
        <v>31</v>
      </c>
      <c r="Z58" s="305" t="s">
        <v>32</v>
      </c>
      <c r="AA58" s="305" t="s">
        <v>32</v>
      </c>
      <c r="AB58" s="305" t="s">
        <v>32</v>
      </c>
      <c r="AC58" s="305" t="s">
        <v>52</v>
      </c>
      <c r="AD58" s="296" t="s">
        <v>33</v>
      </c>
      <c r="AE58" s="296" t="s">
        <v>34</v>
      </c>
      <c r="AF58" s="296" t="s">
        <v>35</v>
      </c>
      <c r="AG58" s="357">
        <v>365</v>
      </c>
      <c r="AH58" s="357">
        <v>240</v>
      </c>
      <c r="AI58" s="306">
        <v>7.71</v>
      </c>
      <c r="AJ58" s="306"/>
      <c r="AK58" s="303">
        <f t="shared" si="13"/>
        <v>1.02</v>
      </c>
      <c r="AL58" s="293"/>
      <c r="AM58" s="332">
        <f t="shared" si="14"/>
        <v>8.73</v>
      </c>
    </row>
    <row r="59" spans="1:39" s="358" customFormat="1" ht="15">
      <c r="A59" s="331">
        <v>48</v>
      </c>
      <c r="B59" s="292"/>
      <c r="C59" s="294">
        <v>7</v>
      </c>
      <c r="D59" s="296">
        <v>1960</v>
      </c>
      <c r="E59" s="296" t="s">
        <v>28</v>
      </c>
      <c r="F59" s="296">
        <v>2</v>
      </c>
      <c r="G59" s="296" t="s">
        <v>29</v>
      </c>
      <c r="H59" s="302">
        <f>J59*288/342.6</f>
        <v>556.0770577933449</v>
      </c>
      <c r="I59" s="302">
        <v>2740</v>
      </c>
      <c r="J59" s="302">
        <f t="shared" si="11"/>
        <v>661.5</v>
      </c>
      <c r="K59" s="395">
        <v>610.9</v>
      </c>
      <c r="L59" s="356"/>
      <c r="M59" s="304">
        <v>43.2</v>
      </c>
      <c r="N59" s="299">
        <v>16</v>
      </c>
      <c r="O59" s="294">
        <v>1</v>
      </c>
      <c r="P59" s="296">
        <v>2</v>
      </c>
      <c r="Q59" s="302">
        <v>50.6</v>
      </c>
      <c r="R59" s="302">
        <f t="shared" si="12"/>
        <v>0</v>
      </c>
      <c r="S59" s="302"/>
      <c r="T59" s="302"/>
      <c r="U59" s="302"/>
      <c r="V59" s="302">
        <v>47.8</v>
      </c>
      <c r="W59" s="302"/>
      <c r="X59" s="300" t="s">
        <v>30</v>
      </c>
      <c r="Y59" s="300" t="s">
        <v>31</v>
      </c>
      <c r="Z59" s="305" t="s">
        <v>32</v>
      </c>
      <c r="AA59" s="305" t="s">
        <v>32</v>
      </c>
      <c r="AB59" s="305" t="s">
        <v>32</v>
      </c>
      <c r="AC59" s="305" t="s">
        <v>52</v>
      </c>
      <c r="AD59" s="296" t="s">
        <v>33</v>
      </c>
      <c r="AE59" s="296" t="s">
        <v>34</v>
      </c>
      <c r="AF59" s="296" t="s">
        <v>35</v>
      </c>
      <c r="AG59" s="357">
        <v>365</v>
      </c>
      <c r="AH59" s="357">
        <v>240</v>
      </c>
      <c r="AI59" s="306">
        <v>8</v>
      </c>
      <c r="AJ59" s="306"/>
      <c r="AK59" s="303">
        <f t="shared" si="13"/>
        <v>1.02</v>
      </c>
      <c r="AL59" s="293"/>
      <c r="AM59" s="332">
        <f t="shared" si="14"/>
        <v>9.02</v>
      </c>
    </row>
    <row r="60" spans="1:39" s="358" customFormat="1" ht="15">
      <c r="A60" s="331">
        <v>49</v>
      </c>
      <c r="B60" s="292"/>
      <c r="C60" s="294">
        <v>8</v>
      </c>
      <c r="D60" s="296">
        <v>1960</v>
      </c>
      <c r="E60" s="296" t="s">
        <v>28</v>
      </c>
      <c r="F60" s="296">
        <v>2</v>
      </c>
      <c r="G60" s="296" t="s">
        <v>29</v>
      </c>
      <c r="H60" s="302">
        <f>12.63*34.48*1.3</f>
        <v>566.12712</v>
      </c>
      <c r="I60" s="302">
        <v>3310</v>
      </c>
      <c r="J60" s="302">
        <f t="shared" si="11"/>
        <v>667.5</v>
      </c>
      <c r="K60" s="395">
        <v>617.3</v>
      </c>
      <c r="L60" s="356"/>
      <c r="M60" s="304">
        <v>0</v>
      </c>
      <c r="N60" s="299">
        <v>16</v>
      </c>
      <c r="O60" s="294">
        <v>0</v>
      </c>
      <c r="P60" s="296">
        <v>2</v>
      </c>
      <c r="Q60" s="302">
        <v>50.2</v>
      </c>
      <c r="R60" s="302">
        <f t="shared" si="12"/>
        <v>0</v>
      </c>
      <c r="S60" s="302"/>
      <c r="T60" s="302"/>
      <c r="U60" s="302"/>
      <c r="V60" s="302">
        <v>348.7</v>
      </c>
      <c r="W60" s="302"/>
      <c r="X60" s="300" t="s">
        <v>30</v>
      </c>
      <c r="Y60" s="300" t="s">
        <v>31</v>
      </c>
      <c r="Z60" s="305" t="s">
        <v>32</v>
      </c>
      <c r="AA60" s="305" t="s">
        <v>32</v>
      </c>
      <c r="AB60" s="305" t="s">
        <v>32</v>
      </c>
      <c r="AC60" s="305" t="s">
        <v>52</v>
      </c>
      <c r="AD60" s="296" t="s">
        <v>33</v>
      </c>
      <c r="AE60" s="296" t="s">
        <v>34</v>
      </c>
      <c r="AF60" s="296" t="s">
        <v>35</v>
      </c>
      <c r="AG60" s="357">
        <v>365</v>
      </c>
      <c r="AH60" s="357">
        <v>240</v>
      </c>
      <c r="AI60" s="306">
        <v>8</v>
      </c>
      <c r="AJ60" s="306"/>
      <c r="AK60" s="303">
        <f t="shared" si="13"/>
        <v>1.02</v>
      </c>
      <c r="AL60" s="293"/>
      <c r="AM60" s="332">
        <f t="shared" si="14"/>
        <v>9.02</v>
      </c>
    </row>
    <row r="61" spans="1:39" ht="15">
      <c r="A61" s="331">
        <v>50</v>
      </c>
      <c r="B61" s="292"/>
      <c r="C61" s="294">
        <v>9</v>
      </c>
      <c r="D61" s="296">
        <v>1983</v>
      </c>
      <c r="E61" s="296" t="s">
        <v>28</v>
      </c>
      <c r="F61" s="296">
        <v>2</v>
      </c>
      <c r="G61" s="296" t="s">
        <v>38</v>
      </c>
      <c r="H61" s="302">
        <f>J61*288/342.6</f>
        <v>523.5446584938704</v>
      </c>
      <c r="I61" s="302">
        <f>J61*I62/J62</f>
        <v>3088.341573033708</v>
      </c>
      <c r="J61" s="302">
        <f t="shared" si="11"/>
        <v>622.8000000000001</v>
      </c>
      <c r="K61" s="395">
        <v>571.1</v>
      </c>
      <c r="L61" s="356"/>
      <c r="M61" s="304">
        <v>60</v>
      </c>
      <c r="N61" s="299">
        <v>12</v>
      </c>
      <c r="O61" s="294">
        <v>1</v>
      </c>
      <c r="P61" s="296">
        <v>2</v>
      </c>
      <c r="Q61" s="302">
        <v>51.7</v>
      </c>
      <c r="R61" s="302">
        <f t="shared" si="12"/>
        <v>0</v>
      </c>
      <c r="S61" s="302"/>
      <c r="T61" s="302"/>
      <c r="U61" s="320">
        <v>550</v>
      </c>
      <c r="V61" s="320">
        <v>550</v>
      </c>
      <c r="W61" s="320"/>
      <c r="X61" s="300" t="s">
        <v>30</v>
      </c>
      <c r="Y61" s="300" t="s">
        <v>31</v>
      </c>
      <c r="Z61" s="305" t="s">
        <v>32</v>
      </c>
      <c r="AA61" s="305" t="s">
        <v>32</v>
      </c>
      <c r="AB61" s="305" t="s">
        <v>32</v>
      </c>
      <c r="AC61" s="305" t="s">
        <v>52</v>
      </c>
      <c r="AD61" s="296" t="s">
        <v>33</v>
      </c>
      <c r="AE61" s="296" t="s">
        <v>34</v>
      </c>
      <c r="AF61" s="296" t="s">
        <v>35</v>
      </c>
      <c r="AG61" s="357">
        <v>365</v>
      </c>
      <c r="AH61" s="357">
        <v>240</v>
      </c>
      <c r="AI61" s="306">
        <v>7.95</v>
      </c>
      <c r="AJ61" s="306"/>
      <c r="AK61" s="303">
        <f t="shared" si="13"/>
        <v>1.02</v>
      </c>
      <c r="AL61" s="303"/>
      <c r="AM61" s="332">
        <f t="shared" si="14"/>
        <v>8.97</v>
      </c>
    </row>
    <row r="62" spans="1:39" ht="15">
      <c r="A62" s="331">
        <v>51</v>
      </c>
      <c r="B62" s="292"/>
      <c r="C62" s="294">
        <v>10</v>
      </c>
      <c r="D62" s="296">
        <v>1978</v>
      </c>
      <c r="E62" s="296" t="s">
        <v>28</v>
      </c>
      <c r="F62" s="296">
        <v>2</v>
      </c>
      <c r="G62" s="296" t="s">
        <v>29</v>
      </c>
      <c r="H62" s="302">
        <f>J62*288/342.6</f>
        <v>659.4746059544658</v>
      </c>
      <c r="I62" s="302">
        <f>J62*I60/J60</f>
        <v>3890.179775280899</v>
      </c>
      <c r="J62" s="302">
        <f t="shared" si="11"/>
        <v>784.5</v>
      </c>
      <c r="K62" s="356">
        <v>728.1</v>
      </c>
      <c r="L62" s="356"/>
      <c r="M62" s="304">
        <v>0</v>
      </c>
      <c r="N62" s="299">
        <v>16</v>
      </c>
      <c r="O62" s="294">
        <v>0</v>
      </c>
      <c r="P62" s="294">
        <v>2</v>
      </c>
      <c r="Q62" s="302">
        <v>56.4</v>
      </c>
      <c r="R62" s="302">
        <f t="shared" si="12"/>
        <v>0</v>
      </c>
      <c r="S62" s="302"/>
      <c r="T62" s="302"/>
      <c r="U62" s="302"/>
      <c r="V62" s="302">
        <v>650</v>
      </c>
      <c r="W62" s="302"/>
      <c r="X62" s="300" t="s">
        <v>30</v>
      </c>
      <c r="Y62" s="300" t="s">
        <v>31</v>
      </c>
      <c r="Z62" s="305" t="s">
        <v>32</v>
      </c>
      <c r="AA62" s="305" t="s">
        <v>32</v>
      </c>
      <c r="AB62" s="305" t="s">
        <v>32</v>
      </c>
      <c r="AC62" s="305" t="s">
        <v>52</v>
      </c>
      <c r="AD62" s="296" t="s">
        <v>33</v>
      </c>
      <c r="AE62" s="296" t="s">
        <v>34</v>
      </c>
      <c r="AF62" s="296" t="s">
        <v>35</v>
      </c>
      <c r="AG62" s="357">
        <v>365</v>
      </c>
      <c r="AH62" s="357">
        <v>240</v>
      </c>
      <c r="AI62" s="306">
        <v>7.81</v>
      </c>
      <c r="AJ62" s="306"/>
      <c r="AK62" s="303">
        <f t="shared" si="13"/>
        <v>1.02</v>
      </c>
      <c r="AL62" s="303"/>
      <c r="AM62" s="332">
        <f t="shared" si="14"/>
        <v>8.83</v>
      </c>
    </row>
    <row r="63" spans="1:39" s="358" customFormat="1" ht="15">
      <c r="A63" s="331">
        <v>52</v>
      </c>
      <c r="B63" s="292" t="s">
        <v>44</v>
      </c>
      <c r="C63" s="294">
        <v>1</v>
      </c>
      <c r="D63" s="296">
        <v>1989</v>
      </c>
      <c r="E63" s="296" t="s">
        <v>28</v>
      </c>
      <c r="F63" s="296">
        <v>4</v>
      </c>
      <c r="G63" s="296" t="s">
        <v>29</v>
      </c>
      <c r="H63" s="302">
        <f>J63*1044/2801.6</f>
        <v>368.2097372929755</v>
      </c>
      <c r="I63" s="302">
        <v>4084</v>
      </c>
      <c r="J63" s="302">
        <f t="shared" si="11"/>
        <v>988.1</v>
      </c>
      <c r="K63" s="395">
        <v>880</v>
      </c>
      <c r="L63" s="356"/>
      <c r="M63" s="304">
        <v>180.7</v>
      </c>
      <c r="N63" s="299">
        <v>16</v>
      </c>
      <c r="O63" s="294">
        <v>3</v>
      </c>
      <c r="P63" s="294">
        <v>1</v>
      </c>
      <c r="Q63" s="302">
        <v>108.1</v>
      </c>
      <c r="R63" s="302">
        <f t="shared" si="12"/>
        <v>0</v>
      </c>
      <c r="S63" s="302"/>
      <c r="T63" s="302"/>
      <c r="U63" s="302">
        <v>225.3</v>
      </c>
      <c r="V63" s="302">
        <v>225.3</v>
      </c>
      <c r="W63" s="302"/>
      <c r="X63" s="300" t="s">
        <v>30</v>
      </c>
      <c r="Y63" s="300" t="s">
        <v>31</v>
      </c>
      <c r="Z63" s="305" t="s">
        <v>32</v>
      </c>
      <c r="AA63" s="305" t="s">
        <v>32</v>
      </c>
      <c r="AB63" s="305" t="s">
        <v>32</v>
      </c>
      <c r="AC63" s="305" t="s">
        <v>52</v>
      </c>
      <c r="AD63" s="296" t="s">
        <v>33</v>
      </c>
      <c r="AE63" s="296" t="s">
        <v>34</v>
      </c>
      <c r="AF63" s="296" t="s">
        <v>35</v>
      </c>
      <c r="AG63" s="357">
        <v>547</v>
      </c>
      <c r="AH63" s="357">
        <v>250</v>
      </c>
      <c r="AI63" s="319">
        <v>10.78</v>
      </c>
      <c r="AJ63" s="319"/>
      <c r="AK63" s="303">
        <f t="shared" si="13"/>
        <v>1.02</v>
      </c>
      <c r="AL63" s="293"/>
      <c r="AM63" s="332">
        <f t="shared" si="14"/>
        <v>11.799999999999999</v>
      </c>
    </row>
    <row r="64" spans="1:39" s="358" customFormat="1" ht="15">
      <c r="A64" s="331">
        <v>53</v>
      </c>
      <c r="B64" s="292"/>
      <c r="C64" s="294">
        <v>2</v>
      </c>
      <c r="D64" s="296">
        <v>1989</v>
      </c>
      <c r="E64" s="296" t="s">
        <v>28</v>
      </c>
      <c r="F64" s="296">
        <v>4</v>
      </c>
      <c r="G64" s="296" t="s">
        <v>29</v>
      </c>
      <c r="H64" s="302">
        <f>J64*1044/2801.6</f>
        <v>379.8735008566534</v>
      </c>
      <c r="I64" s="302">
        <v>4084</v>
      </c>
      <c r="J64" s="302">
        <f t="shared" si="11"/>
        <v>1019.4000000000001</v>
      </c>
      <c r="K64" s="395">
        <v>905.2</v>
      </c>
      <c r="L64" s="356"/>
      <c r="M64" s="304">
        <v>62.1</v>
      </c>
      <c r="N64" s="299">
        <v>16</v>
      </c>
      <c r="O64" s="294">
        <v>1</v>
      </c>
      <c r="P64" s="294">
        <v>1</v>
      </c>
      <c r="Q64" s="302">
        <v>114.2</v>
      </c>
      <c r="R64" s="302">
        <f t="shared" si="12"/>
        <v>0</v>
      </c>
      <c r="S64" s="302"/>
      <c r="T64" s="302"/>
      <c r="U64" s="302">
        <v>225.3</v>
      </c>
      <c r="V64" s="302">
        <v>225.3</v>
      </c>
      <c r="W64" s="302"/>
      <c r="X64" s="300" t="s">
        <v>30</v>
      </c>
      <c r="Y64" s="300" t="s">
        <v>31</v>
      </c>
      <c r="Z64" s="305" t="s">
        <v>32</v>
      </c>
      <c r="AA64" s="305" t="s">
        <v>32</v>
      </c>
      <c r="AB64" s="305" t="s">
        <v>32</v>
      </c>
      <c r="AC64" s="305" t="s">
        <v>52</v>
      </c>
      <c r="AD64" s="296" t="s">
        <v>33</v>
      </c>
      <c r="AE64" s="296" t="s">
        <v>34</v>
      </c>
      <c r="AF64" s="296" t="s">
        <v>35</v>
      </c>
      <c r="AG64" s="357">
        <v>547</v>
      </c>
      <c r="AH64" s="357">
        <v>250</v>
      </c>
      <c r="AI64" s="319">
        <v>10.78</v>
      </c>
      <c r="AJ64" s="319"/>
      <c r="AK64" s="303">
        <f t="shared" si="13"/>
        <v>1.02</v>
      </c>
      <c r="AL64" s="293"/>
      <c r="AM64" s="332">
        <f t="shared" si="14"/>
        <v>11.799999999999999</v>
      </c>
    </row>
    <row r="65" spans="1:39" s="358" customFormat="1" ht="15">
      <c r="A65" s="331">
        <v>54</v>
      </c>
      <c r="B65" s="292"/>
      <c r="C65" s="294">
        <v>3</v>
      </c>
      <c r="D65" s="296">
        <v>1990</v>
      </c>
      <c r="E65" s="296" t="s">
        <v>28</v>
      </c>
      <c r="F65" s="296">
        <v>4</v>
      </c>
      <c r="G65" s="296" t="s">
        <v>29</v>
      </c>
      <c r="H65" s="302">
        <f>J65*1044/2801.6</f>
        <v>369.9611650485437</v>
      </c>
      <c r="I65" s="302">
        <v>4089</v>
      </c>
      <c r="J65" s="302">
        <f t="shared" si="11"/>
        <v>992.8</v>
      </c>
      <c r="K65" s="395">
        <v>875.8</v>
      </c>
      <c r="L65" s="356"/>
      <c r="M65" s="304">
        <v>176.3</v>
      </c>
      <c r="N65" s="299">
        <v>16</v>
      </c>
      <c r="O65" s="294">
        <v>3</v>
      </c>
      <c r="P65" s="294">
        <v>1</v>
      </c>
      <c r="Q65" s="302">
        <v>117</v>
      </c>
      <c r="R65" s="302">
        <f t="shared" si="12"/>
        <v>0</v>
      </c>
      <c r="S65" s="302"/>
      <c r="T65" s="302"/>
      <c r="U65" s="302">
        <v>225.3</v>
      </c>
      <c r="V65" s="302">
        <v>225.3</v>
      </c>
      <c r="W65" s="302"/>
      <c r="X65" s="300" t="s">
        <v>30</v>
      </c>
      <c r="Y65" s="300" t="s">
        <v>31</v>
      </c>
      <c r="Z65" s="305" t="s">
        <v>32</v>
      </c>
      <c r="AA65" s="305" t="s">
        <v>32</v>
      </c>
      <c r="AB65" s="305" t="s">
        <v>32</v>
      </c>
      <c r="AC65" s="305" t="s">
        <v>52</v>
      </c>
      <c r="AD65" s="296" t="s">
        <v>33</v>
      </c>
      <c r="AE65" s="296" t="s">
        <v>34</v>
      </c>
      <c r="AF65" s="296" t="s">
        <v>35</v>
      </c>
      <c r="AG65" s="357">
        <v>547</v>
      </c>
      <c r="AH65" s="357">
        <v>250</v>
      </c>
      <c r="AI65" s="306">
        <v>10.78</v>
      </c>
      <c r="AJ65" s="306"/>
      <c r="AK65" s="303">
        <f t="shared" si="13"/>
        <v>1.02</v>
      </c>
      <c r="AL65" s="293"/>
      <c r="AM65" s="332">
        <f t="shared" si="14"/>
        <v>11.799999999999999</v>
      </c>
    </row>
    <row r="66" spans="1:39" s="358" customFormat="1" ht="15">
      <c r="A66" s="331">
        <v>55</v>
      </c>
      <c r="B66" s="292"/>
      <c r="C66" s="294">
        <v>4</v>
      </c>
      <c r="D66" s="296">
        <v>1995</v>
      </c>
      <c r="E66" s="296" t="s">
        <v>28</v>
      </c>
      <c r="F66" s="296">
        <v>4</v>
      </c>
      <c r="G66" s="296" t="s">
        <v>29</v>
      </c>
      <c r="H66" s="302">
        <v>428</v>
      </c>
      <c r="I66" s="302">
        <v>3801</v>
      </c>
      <c r="J66" s="302">
        <f t="shared" si="11"/>
        <v>953.4000000000001</v>
      </c>
      <c r="K66" s="356">
        <v>852.2</v>
      </c>
      <c r="L66" s="356"/>
      <c r="M66" s="304">
        <v>97.2</v>
      </c>
      <c r="N66" s="299">
        <v>16</v>
      </c>
      <c r="O66" s="294">
        <v>2</v>
      </c>
      <c r="P66" s="294">
        <v>1</v>
      </c>
      <c r="Q66" s="302">
        <v>101.2</v>
      </c>
      <c r="R66" s="302">
        <f t="shared" si="12"/>
        <v>0</v>
      </c>
      <c r="S66" s="302"/>
      <c r="T66" s="302"/>
      <c r="U66" s="302"/>
      <c r="V66" s="302">
        <v>206.6</v>
      </c>
      <c r="W66" s="302"/>
      <c r="X66" s="300" t="s">
        <v>30</v>
      </c>
      <c r="Y66" s="300" t="s">
        <v>31</v>
      </c>
      <c r="Z66" s="305" t="s">
        <v>32</v>
      </c>
      <c r="AA66" s="305" t="s">
        <v>32</v>
      </c>
      <c r="AB66" s="305" t="s">
        <v>32</v>
      </c>
      <c r="AC66" s="305" t="s">
        <v>52</v>
      </c>
      <c r="AD66" s="296" t="s">
        <v>33</v>
      </c>
      <c r="AE66" s="296" t="s">
        <v>34</v>
      </c>
      <c r="AF66" s="296" t="s">
        <v>35</v>
      </c>
      <c r="AG66" s="357">
        <v>547</v>
      </c>
      <c r="AH66" s="357">
        <v>250</v>
      </c>
      <c r="AI66" s="306">
        <v>10.74</v>
      </c>
      <c r="AJ66" s="306"/>
      <c r="AK66" s="303">
        <f t="shared" si="13"/>
        <v>1.02</v>
      </c>
      <c r="AL66" s="293"/>
      <c r="AM66" s="332">
        <f t="shared" si="14"/>
        <v>11.76</v>
      </c>
    </row>
    <row r="67" spans="1:39" s="450" customFormat="1" ht="15">
      <c r="A67" s="437">
        <v>56</v>
      </c>
      <c r="B67" s="438" t="s">
        <v>45</v>
      </c>
      <c r="C67" s="439">
        <v>1</v>
      </c>
      <c r="D67" s="323">
        <v>1972</v>
      </c>
      <c r="E67" s="323" t="s">
        <v>83</v>
      </c>
      <c r="F67" s="323">
        <v>1</v>
      </c>
      <c r="G67" s="323" t="s">
        <v>29</v>
      </c>
      <c r="H67" s="440">
        <f>J67*137/123.3</f>
        <v>165.2222222222222</v>
      </c>
      <c r="I67" s="440">
        <f>482+50</f>
        <v>532</v>
      </c>
      <c r="J67" s="440">
        <f t="shared" si="11"/>
        <v>148.7</v>
      </c>
      <c r="K67" s="441">
        <v>148.7</v>
      </c>
      <c r="L67" s="441"/>
      <c r="M67" s="442">
        <v>33.6</v>
      </c>
      <c r="N67" s="443">
        <v>4</v>
      </c>
      <c r="O67" s="439">
        <v>1</v>
      </c>
      <c r="P67" s="439">
        <v>1</v>
      </c>
      <c r="Q67" s="470"/>
      <c r="R67" s="440">
        <f t="shared" si="12"/>
        <v>0</v>
      </c>
      <c r="S67" s="470"/>
      <c r="T67" s="470"/>
      <c r="U67" s="440"/>
      <c r="V67" s="440"/>
      <c r="W67" s="440"/>
      <c r="X67" s="444" t="s">
        <v>85</v>
      </c>
      <c r="Y67" s="444"/>
      <c r="Z67" s="445" t="s">
        <v>32</v>
      </c>
      <c r="AA67" s="445" t="s">
        <v>52</v>
      </c>
      <c r="AB67" s="445" t="s">
        <v>52</v>
      </c>
      <c r="AC67" s="445" t="s">
        <v>52</v>
      </c>
      <c r="AD67" s="323" t="s">
        <v>33</v>
      </c>
      <c r="AE67" s="323" t="s">
        <v>34</v>
      </c>
      <c r="AF67" s="323" t="s">
        <v>74</v>
      </c>
      <c r="AG67" s="471"/>
      <c r="AH67" s="471"/>
      <c r="AI67" s="447">
        <v>4.61</v>
      </c>
      <c r="AJ67" s="447"/>
      <c r="AK67" s="448">
        <f t="shared" si="13"/>
        <v>1.02</v>
      </c>
      <c r="AL67" s="448"/>
      <c r="AM67" s="449">
        <f t="shared" si="14"/>
        <v>5.630000000000001</v>
      </c>
    </row>
    <row r="68" spans="1:39" s="358" customFormat="1" ht="15">
      <c r="A68" s="331">
        <v>57</v>
      </c>
      <c r="B68" s="292"/>
      <c r="C68" s="294">
        <v>2</v>
      </c>
      <c r="D68" s="296">
        <v>1972</v>
      </c>
      <c r="E68" s="296" t="s">
        <v>83</v>
      </c>
      <c r="F68" s="296">
        <v>1</v>
      </c>
      <c r="G68" s="296" t="s">
        <v>29</v>
      </c>
      <c r="H68" s="302">
        <f>J68*137/123.3</f>
        <v>153.11111111111114</v>
      </c>
      <c r="I68" s="302">
        <v>482</v>
      </c>
      <c r="J68" s="302">
        <f t="shared" si="11"/>
        <v>137.8</v>
      </c>
      <c r="K68" s="356">
        <v>137.8</v>
      </c>
      <c r="L68" s="356"/>
      <c r="M68" s="304">
        <v>68.9</v>
      </c>
      <c r="N68" s="299">
        <v>4</v>
      </c>
      <c r="O68" s="294">
        <v>2</v>
      </c>
      <c r="P68" s="294">
        <v>1</v>
      </c>
      <c r="Q68" s="322"/>
      <c r="R68" s="302">
        <f t="shared" si="12"/>
        <v>0</v>
      </c>
      <c r="S68" s="322"/>
      <c r="T68" s="322"/>
      <c r="U68" s="302"/>
      <c r="V68" s="302"/>
      <c r="W68" s="302"/>
      <c r="X68" s="300" t="s">
        <v>85</v>
      </c>
      <c r="Y68" s="300"/>
      <c r="Z68" s="305" t="s">
        <v>32</v>
      </c>
      <c r="AA68" s="305" t="s">
        <v>52</v>
      </c>
      <c r="AB68" s="305" t="s">
        <v>52</v>
      </c>
      <c r="AC68" s="305" t="s">
        <v>52</v>
      </c>
      <c r="AD68" s="296" t="s">
        <v>33</v>
      </c>
      <c r="AE68" s="296" t="s">
        <v>34</v>
      </c>
      <c r="AF68" s="323" t="s">
        <v>74</v>
      </c>
      <c r="AG68" s="364"/>
      <c r="AH68" s="364"/>
      <c r="AI68" s="306">
        <v>4.61</v>
      </c>
      <c r="AJ68" s="306"/>
      <c r="AK68" s="303">
        <f t="shared" si="13"/>
        <v>1.02</v>
      </c>
      <c r="AL68" s="293"/>
      <c r="AM68" s="332">
        <f t="shared" si="14"/>
        <v>5.630000000000001</v>
      </c>
    </row>
    <row r="69" spans="1:39" s="358" customFormat="1" ht="15">
      <c r="A69" s="331">
        <v>58</v>
      </c>
      <c r="B69" s="292"/>
      <c r="C69" s="294">
        <v>3</v>
      </c>
      <c r="D69" s="296">
        <v>1973</v>
      </c>
      <c r="E69" s="296" t="s">
        <v>83</v>
      </c>
      <c r="F69" s="296">
        <v>1</v>
      </c>
      <c r="G69" s="296" t="s">
        <v>29</v>
      </c>
      <c r="H69" s="302">
        <f>J69*137/123.3</f>
        <v>185.77777777777777</v>
      </c>
      <c r="I69" s="302">
        <v>482</v>
      </c>
      <c r="J69" s="302">
        <f t="shared" si="11"/>
        <v>167.2</v>
      </c>
      <c r="K69" s="356">
        <v>167.2</v>
      </c>
      <c r="L69" s="356"/>
      <c r="M69" s="304">
        <v>0</v>
      </c>
      <c r="N69" s="299">
        <v>4</v>
      </c>
      <c r="O69" s="294">
        <v>0</v>
      </c>
      <c r="P69" s="294">
        <v>1</v>
      </c>
      <c r="Q69" s="322"/>
      <c r="R69" s="302">
        <f t="shared" si="12"/>
        <v>0</v>
      </c>
      <c r="S69" s="322"/>
      <c r="T69" s="322"/>
      <c r="U69" s="302"/>
      <c r="V69" s="302"/>
      <c r="W69" s="302"/>
      <c r="X69" s="300" t="s">
        <v>85</v>
      </c>
      <c r="Y69" s="300" t="s">
        <v>31</v>
      </c>
      <c r="Z69" s="305" t="s">
        <v>32</v>
      </c>
      <c r="AA69" s="305" t="s">
        <v>52</v>
      </c>
      <c r="AB69" s="305" t="s">
        <v>32</v>
      </c>
      <c r="AC69" s="305" t="s">
        <v>52</v>
      </c>
      <c r="AD69" s="296" t="s">
        <v>33</v>
      </c>
      <c r="AE69" s="296" t="s">
        <v>34</v>
      </c>
      <c r="AF69" s="323" t="s">
        <v>74</v>
      </c>
      <c r="AG69" s="364"/>
      <c r="AH69" s="364"/>
      <c r="AI69" s="306">
        <v>4.61</v>
      </c>
      <c r="AJ69" s="306"/>
      <c r="AK69" s="303">
        <f t="shared" si="13"/>
        <v>1.02</v>
      </c>
      <c r="AL69" s="293"/>
      <c r="AM69" s="332">
        <f t="shared" si="14"/>
        <v>5.630000000000001</v>
      </c>
    </row>
    <row r="70" spans="1:39" s="358" customFormat="1" ht="15">
      <c r="A70" s="331">
        <v>59</v>
      </c>
      <c r="B70" s="292"/>
      <c r="C70" s="294">
        <v>57</v>
      </c>
      <c r="D70" s="296">
        <v>1932</v>
      </c>
      <c r="E70" s="296" t="s">
        <v>46</v>
      </c>
      <c r="F70" s="296">
        <v>1</v>
      </c>
      <c r="G70" s="296" t="s">
        <v>29</v>
      </c>
      <c r="H70" s="302">
        <f>J70*137/123.3</f>
        <v>0</v>
      </c>
      <c r="I70" s="302">
        <v>960</v>
      </c>
      <c r="J70" s="302">
        <v>0</v>
      </c>
      <c r="K70" s="395">
        <v>194.5</v>
      </c>
      <c r="L70" s="356"/>
      <c r="M70" s="304">
        <v>0</v>
      </c>
      <c r="N70" s="299">
        <v>9</v>
      </c>
      <c r="O70" s="294">
        <v>0</v>
      </c>
      <c r="P70" s="294">
        <v>1</v>
      </c>
      <c r="Q70" s="322"/>
      <c r="R70" s="302">
        <f t="shared" si="12"/>
        <v>0</v>
      </c>
      <c r="S70" s="322"/>
      <c r="T70" s="322"/>
      <c r="U70" s="302"/>
      <c r="V70" s="302"/>
      <c r="W70" s="302"/>
      <c r="X70" s="300" t="s">
        <v>30</v>
      </c>
      <c r="Y70" s="300"/>
      <c r="Z70" s="305" t="s">
        <v>32</v>
      </c>
      <c r="AA70" s="305" t="s">
        <v>52</v>
      </c>
      <c r="AB70" s="305" t="s">
        <v>52</v>
      </c>
      <c r="AC70" s="305" t="s">
        <v>52</v>
      </c>
      <c r="AD70" s="305" t="s">
        <v>52</v>
      </c>
      <c r="AE70" s="324" t="s">
        <v>84</v>
      </c>
      <c r="AF70" s="323" t="s">
        <v>74</v>
      </c>
      <c r="AG70" s="364"/>
      <c r="AH70" s="364"/>
      <c r="AI70" s="306">
        <v>7.76</v>
      </c>
      <c r="AJ70" s="306"/>
      <c r="AK70" s="303">
        <f t="shared" si="13"/>
        <v>1.02</v>
      </c>
      <c r="AL70" s="293"/>
      <c r="AM70" s="332">
        <f t="shared" si="14"/>
        <v>8.78</v>
      </c>
    </row>
    <row r="71" spans="1:39" s="392" customFormat="1" ht="15">
      <c r="A71" s="376">
        <v>60</v>
      </c>
      <c r="B71" s="377"/>
      <c r="C71" s="378">
        <v>60</v>
      </c>
      <c r="D71" s="379">
        <v>1983</v>
      </c>
      <c r="E71" s="379" t="s">
        <v>28</v>
      </c>
      <c r="F71" s="379">
        <v>2</v>
      </c>
      <c r="G71" s="379" t="s">
        <v>29</v>
      </c>
      <c r="H71" s="380">
        <v>600</v>
      </c>
      <c r="I71" s="380">
        <v>3299</v>
      </c>
      <c r="J71" s="380">
        <f>K71+Q71+R71</f>
        <v>687.6</v>
      </c>
      <c r="K71" s="381">
        <v>622.5</v>
      </c>
      <c r="L71" s="381"/>
      <c r="M71" s="394">
        <v>44.7</v>
      </c>
      <c r="N71" s="383">
        <v>15</v>
      </c>
      <c r="O71" s="378">
        <v>1</v>
      </c>
      <c r="P71" s="378">
        <v>2</v>
      </c>
      <c r="Q71" s="380">
        <v>65.1</v>
      </c>
      <c r="R71" s="380">
        <f t="shared" si="12"/>
        <v>0</v>
      </c>
      <c r="S71" s="380"/>
      <c r="T71" s="380"/>
      <c r="U71" s="380"/>
      <c r="V71" s="380"/>
      <c r="W71" s="380"/>
      <c r="X71" s="384" t="s">
        <v>30</v>
      </c>
      <c r="Y71" s="384" t="s">
        <v>37</v>
      </c>
      <c r="Z71" s="385" t="s">
        <v>32</v>
      </c>
      <c r="AA71" s="385" t="s">
        <v>32</v>
      </c>
      <c r="AB71" s="385" t="s">
        <v>32</v>
      </c>
      <c r="AC71" s="385" t="s">
        <v>52</v>
      </c>
      <c r="AD71" s="379" t="s">
        <v>33</v>
      </c>
      <c r="AE71" s="379" t="s">
        <v>34</v>
      </c>
      <c r="AF71" s="379" t="s">
        <v>35</v>
      </c>
      <c r="AG71" s="387">
        <v>160</v>
      </c>
      <c r="AH71" s="387">
        <v>390</v>
      </c>
      <c r="AI71" s="388">
        <v>8.09</v>
      </c>
      <c r="AJ71" s="388"/>
      <c r="AK71" s="390">
        <f t="shared" si="13"/>
        <v>1.02</v>
      </c>
      <c r="AL71" s="390"/>
      <c r="AM71" s="391">
        <f t="shared" si="14"/>
        <v>9.11</v>
      </c>
    </row>
    <row r="72" spans="1:39" s="358" customFormat="1" ht="15">
      <c r="A72" s="331">
        <v>61</v>
      </c>
      <c r="B72" s="292"/>
      <c r="C72" s="294">
        <v>64</v>
      </c>
      <c r="D72" s="296">
        <v>1969</v>
      </c>
      <c r="E72" s="296" t="s">
        <v>28</v>
      </c>
      <c r="F72" s="296">
        <v>2</v>
      </c>
      <c r="G72" s="296" t="s">
        <v>29</v>
      </c>
      <c r="H72" s="302">
        <v>113.1</v>
      </c>
      <c r="I72" s="302">
        <v>656</v>
      </c>
      <c r="J72" s="302">
        <f>K72+Q72+R72</f>
        <v>130</v>
      </c>
      <c r="K72" s="395">
        <v>130</v>
      </c>
      <c r="L72" s="356"/>
      <c r="M72" s="304">
        <v>0</v>
      </c>
      <c r="N72" s="299">
        <v>4</v>
      </c>
      <c r="O72" s="294">
        <v>0</v>
      </c>
      <c r="P72" s="294">
        <v>1</v>
      </c>
      <c r="Q72" s="302"/>
      <c r="R72" s="302">
        <f t="shared" si="12"/>
        <v>0</v>
      </c>
      <c r="S72" s="302"/>
      <c r="T72" s="302"/>
      <c r="U72" s="302"/>
      <c r="V72" s="302"/>
      <c r="W72" s="302"/>
      <c r="X72" s="300" t="s">
        <v>30</v>
      </c>
      <c r="Y72" s="307" t="s">
        <v>37</v>
      </c>
      <c r="Z72" s="305" t="s">
        <v>32</v>
      </c>
      <c r="AA72" s="305" t="s">
        <v>32</v>
      </c>
      <c r="AB72" s="305" t="s">
        <v>32</v>
      </c>
      <c r="AC72" s="305" t="s">
        <v>52</v>
      </c>
      <c r="AD72" s="296" t="s">
        <v>33</v>
      </c>
      <c r="AE72" s="296" t="s">
        <v>34</v>
      </c>
      <c r="AF72" s="296" t="s">
        <v>35</v>
      </c>
      <c r="AG72" s="357">
        <v>160</v>
      </c>
      <c r="AH72" s="357">
        <v>390</v>
      </c>
      <c r="AI72" s="306">
        <v>8.31</v>
      </c>
      <c r="AJ72" s="306"/>
      <c r="AK72" s="303">
        <f t="shared" si="13"/>
        <v>1.02</v>
      </c>
      <c r="AL72" s="293"/>
      <c r="AM72" s="332">
        <f t="shared" si="14"/>
        <v>9.33</v>
      </c>
    </row>
    <row r="73" spans="1:39" s="358" customFormat="1" ht="15">
      <c r="A73" s="331">
        <v>62</v>
      </c>
      <c r="B73" s="292"/>
      <c r="C73" s="294">
        <v>91</v>
      </c>
      <c r="D73" s="296">
        <v>1991</v>
      </c>
      <c r="E73" s="296" t="s">
        <v>28</v>
      </c>
      <c r="F73" s="296">
        <v>9</v>
      </c>
      <c r="G73" s="296" t="s">
        <v>38</v>
      </c>
      <c r="H73" s="302">
        <f>V73</f>
        <v>1218.9</v>
      </c>
      <c r="I73" s="302">
        <v>31752</v>
      </c>
      <c r="J73" s="302">
        <f>K73+Q73+R73</f>
        <v>8615.93</v>
      </c>
      <c r="K73" s="356">
        <f>7340.33-R73</f>
        <v>6965.8</v>
      </c>
      <c r="L73" s="356"/>
      <c r="M73" s="304">
        <v>1290.1</v>
      </c>
      <c r="N73" s="299">
        <v>121</v>
      </c>
      <c r="O73" s="294">
        <v>22</v>
      </c>
      <c r="P73" s="294">
        <v>4</v>
      </c>
      <c r="Q73" s="302">
        <v>1275.6</v>
      </c>
      <c r="R73" s="302">
        <f t="shared" si="12"/>
        <v>374.53000000000003</v>
      </c>
      <c r="S73" s="302"/>
      <c r="T73" s="325">
        <f>48.33+51.66+63.6+87.34+86+37.6</f>
        <v>374.53000000000003</v>
      </c>
      <c r="U73" s="320"/>
      <c r="V73" s="320">
        <v>1218.9</v>
      </c>
      <c r="W73" s="320"/>
      <c r="X73" s="300" t="s">
        <v>30</v>
      </c>
      <c r="Y73" s="307" t="s">
        <v>37</v>
      </c>
      <c r="Z73" s="305" t="s">
        <v>32</v>
      </c>
      <c r="AA73" s="305" t="s">
        <v>32</v>
      </c>
      <c r="AB73" s="305" t="s">
        <v>32</v>
      </c>
      <c r="AC73" s="305" t="s">
        <v>32</v>
      </c>
      <c r="AD73" s="296" t="s">
        <v>33</v>
      </c>
      <c r="AE73" s="296" t="s">
        <v>34</v>
      </c>
      <c r="AF73" s="296" t="s">
        <v>35</v>
      </c>
      <c r="AG73" s="357">
        <v>1902</v>
      </c>
      <c r="AH73" s="357">
        <v>704</v>
      </c>
      <c r="AI73" s="306">
        <v>10.28</v>
      </c>
      <c r="AJ73" s="306"/>
      <c r="AK73" s="303">
        <f t="shared" si="13"/>
        <v>1.02</v>
      </c>
      <c r="AL73" s="293">
        <v>7.1</v>
      </c>
      <c r="AM73" s="332">
        <f t="shared" si="14"/>
        <v>18.4</v>
      </c>
    </row>
    <row r="74" spans="1:39" s="450" customFormat="1" ht="15.75" thickBot="1">
      <c r="A74" s="437">
        <v>63</v>
      </c>
      <c r="B74" s="438" t="s">
        <v>47</v>
      </c>
      <c r="C74" s="439">
        <v>1</v>
      </c>
      <c r="D74" s="323">
        <v>1988</v>
      </c>
      <c r="E74" s="323" t="s">
        <v>42</v>
      </c>
      <c r="F74" s="323">
        <v>5</v>
      </c>
      <c r="G74" s="323" t="s">
        <v>38</v>
      </c>
      <c r="H74" s="440">
        <f>V74</f>
        <v>842.4799999999999</v>
      </c>
      <c r="I74" s="440">
        <v>15829</v>
      </c>
      <c r="J74" s="440">
        <f>K74+Q74+R74</f>
        <v>4716.9</v>
      </c>
      <c r="K74" s="441">
        <v>4224</v>
      </c>
      <c r="L74" s="441"/>
      <c r="M74" s="442">
        <v>528.2</v>
      </c>
      <c r="N74" s="443">
        <v>81</v>
      </c>
      <c r="O74" s="439">
        <v>9</v>
      </c>
      <c r="P74" s="439">
        <v>6</v>
      </c>
      <c r="Q74" s="440">
        <v>492.9</v>
      </c>
      <c r="R74" s="440">
        <f t="shared" si="12"/>
        <v>0</v>
      </c>
      <c r="S74" s="440"/>
      <c r="T74" s="440"/>
      <c r="U74" s="440"/>
      <c r="V74" s="440">
        <f>4237.4/5-5</f>
        <v>842.4799999999999</v>
      </c>
      <c r="W74" s="440"/>
      <c r="X74" s="444" t="s">
        <v>30</v>
      </c>
      <c r="Y74" s="444" t="s">
        <v>37</v>
      </c>
      <c r="Z74" s="445" t="s">
        <v>32</v>
      </c>
      <c r="AA74" s="445" t="s">
        <v>32</v>
      </c>
      <c r="AB74" s="445" t="s">
        <v>32</v>
      </c>
      <c r="AC74" s="445" t="s">
        <v>52</v>
      </c>
      <c r="AD74" s="323" t="s">
        <v>33</v>
      </c>
      <c r="AE74" s="323" t="s">
        <v>34</v>
      </c>
      <c r="AF74" s="323" t="s">
        <v>35</v>
      </c>
      <c r="AG74" s="446">
        <v>1052</v>
      </c>
      <c r="AH74" s="446">
        <v>669</v>
      </c>
      <c r="AI74" s="447">
        <v>11.09</v>
      </c>
      <c r="AJ74" s="447">
        <v>2.78</v>
      </c>
      <c r="AK74" s="448">
        <f t="shared" si="13"/>
        <v>1.02</v>
      </c>
      <c r="AL74" s="448"/>
      <c r="AM74" s="449">
        <f t="shared" si="14"/>
        <v>14.889999999999999</v>
      </c>
    </row>
    <row r="75" spans="1:39" ht="15.75" thickBot="1">
      <c r="A75" s="258">
        <v>1</v>
      </c>
      <c r="B75" s="258">
        <v>2</v>
      </c>
      <c r="C75" s="258">
        <v>3</v>
      </c>
      <c r="D75" s="258">
        <v>4</v>
      </c>
      <c r="E75" s="258">
        <v>5</v>
      </c>
      <c r="F75" s="258">
        <v>6</v>
      </c>
      <c r="G75" s="258">
        <v>7</v>
      </c>
      <c r="H75" s="258">
        <v>8</v>
      </c>
      <c r="I75" s="258">
        <v>9</v>
      </c>
      <c r="J75" s="258">
        <v>10</v>
      </c>
      <c r="K75" s="258">
        <v>11</v>
      </c>
      <c r="L75" s="258">
        <v>12</v>
      </c>
      <c r="M75" s="258">
        <v>13</v>
      </c>
      <c r="N75" s="258">
        <v>14</v>
      </c>
      <c r="O75" s="258">
        <v>15</v>
      </c>
      <c r="P75" s="258">
        <v>16</v>
      </c>
      <c r="Q75" s="258">
        <v>17</v>
      </c>
      <c r="R75" s="258">
        <v>18</v>
      </c>
      <c r="S75" s="258">
        <v>19</v>
      </c>
      <c r="T75" s="258">
        <v>20</v>
      </c>
      <c r="U75" s="258">
        <v>21</v>
      </c>
      <c r="V75" s="258">
        <v>22</v>
      </c>
      <c r="W75" s="258">
        <v>23</v>
      </c>
      <c r="X75" s="258">
        <v>24</v>
      </c>
      <c r="Y75" s="258">
        <v>25</v>
      </c>
      <c r="Z75" s="258">
        <v>26</v>
      </c>
      <c r="AA75" s="258">
        <v>27</v>
      </c>
      <c r="AB75" s="258">
        <v>28</v>
      </c>
      <c r="AC75" s="258">
        <v>29</v>
      </c>
      <c r="AD75" s="258">
        <v>30</v>
      </c>
      <c r="AE75" s="258">
        <v>31</v>
      </c>
      <c r="AF75" s="258">
        <v>32</v>
      </c>
      <c r="AG75" s="258">
        <v>33</v>
      </c>
      <c r="AH75" s="258">
        <v>34</v>
      </c>
      <c r="AI75" s="258">
        <v>35</v>
      </c>
      <c r="AJ75" s="258"/>
      <c r="AK75" s="258">
        <v>36</v>
      </c>
      <c r="AL75" s="258">
        <v>37</v>
      </c>
      <c r="AM75" s="259">
        <v>38</v>
      </c>
    </row>
    <row r="76" spans="1:39" s="361" customFormat="1" ht="15.75" thickTop="1">
      <c r="A76" s="333">
        <v>64</v>
      </c>
      <c r="B76" s="308" t="s">
        <v>39</v>
      </c>
      <c r="C76" s="309">
        <v>3</v>
      </c>
      <c r="D76" s="310">
        <v>1974</v>
      </c>
      <c r="E76" s="310" t="s">
        <v>42</v>
      </c>
      <c r="F76" s="310">
        <v>2</v>
      </c>
      <c r="G76" s="310" t="s">
        <v>38</v>
      </c>
      <c r="H76" s="314">
        <f>V76</f>
        <v>530.447</v>
      </c>
      <c r="I76" s="313">
        <v>3789</v>
      </c>
      <c r="J76" s="311">
        <f>K76+Q76+R76</f>
        <v>883.2</v>
      </c>
      <c r="K76" s="395">
        <v>661.6</v>
      </c>
      <c r="L76" s="359"/>
      <c r="M76" s="298">
        <v>474</v>
      </c>
      <c r="N76" s="313">
        <v>32</v>
      </c>
      <c r="O76" s="309">
        <v>23</v>
      </c>
      <c r="P76" s="309">
        <v>2</v>
      </c>
      <c r="Q76" s="311">
        <v>221.6</v>
      </c>
      <c r="R76" s="311"/>
      <c r="S76" s="311"/>
      <c r="T76" s="311"/>
      <c r="U76" s="314"/>
      <c r="V76" s="311">
        <f>4.8*(3.25+2.8+2.8+3.35+3.1+3.1+2.8+2.7+3.35+2.8+2.8+3.33+3.1+3.3+3.3+2.8+2.76+3.33)+3.35*(6.2+6.2+3+3.7+2.5+6.2+6.22+6.22+3+6.2+6.18)+1.42*57.2</f>
        <v>530.447</v>
      </c>
      <c r="W76" s="311"/>
      <c r="X76" s="314" t="s">
        <v>30</v>
      </c>
      <c r="Y76" s="307" t="s">
        <v>37</v>
      </c>
      <c r="Z76" s="315" t="s">
        <v>32</v>
      </c>
      <c r="AA76" s="315" t="s">
        <v>32</v>
      </c>
      <c r="AB76" s="315" t="s">
        <v>32</v>
      </c>
      <c r="AC76" s="315" t="s">
        <v>52</v>
      </c>
      <c r="AD76" s="315" t="s">
        <v>52</v>
      </c>
      <c r="AE76" s="324" t="s">
        <v>84</v>
      </c>
      <c r="AF76" s="310" t="s">
        <v>35</v>
      </c>
      <c r="AG76" s="365">
        <v>300</v>
      </c>
      <c r="AH76" s="365"/>
      <c r="AI76" s="318">
        <v>7.67</v>
      </c>
      <c r="AJ76" s="318"/>
      <c r="AK76" s="317">
        <f>AK$8</f>
        <v>1.02</v>
      </c>
      <c r="AL76" s="317"/>
      <c r="AM76" s="335">
        <f>SUM(AI76:AL76)</f>
        <v>8.69</v>
      </c>
    </row>
    <row r="77" spans="1:39" s="358" customFormat="1" ht="15">
      <c r="A77" s="669">
        <v>65</v>
      </c>
      <c r="B77" s="668"/>
      <c r="C77" s="667">
        <v>4</v>
      </c>
      <c r="D77" s="670">
        <v>1979</v>
      </c>
      <c r="E77" s="670" t="s">
        <v>42</v>
      </c>
      <c r="F77" s="670">
        <v>2</v>
      </c>
      <c r="G77" s="670" t="s">
        <v>29</v>
      </c>
      <c r="H77" s="666">
        <f>J77*288/342.6</f>
        <v>983.8739054290716</v>
      </c>
      <c r="I77" s="666">
        <v>4409</v>
      </c>
      <c r="J77" s="666">
        <f>K77+Q77+R77</f>
        <v>1170.3999999999999</v>
      </c>
      <c r="K77" s="777">
        <v>1040.8</v>
      </c>
      <c r="L77" s="356"/>
      <c r="M77" s="785">
        <v>222.4</v>
      </c>
      <c r="N77" s="781">
        <v>28</v>
      </c>
      <c r="O77" s="779">
        <v>5</v>
      </c>
      <c r="P77" s="667">
        <v>4</v>
      </c>
      <c r="Q77" s="666">
        <v>129.6</v>
      </c>
      <c r="R77" s="666">
        <f>SUM(S77:T77)</f>
        <v>0</v>
      </c>
      <c r="S77" s="666"/>
      <c r="T77" s="666"/>
      <c r="U77" s="672"/>
      <c r="V77" s="666">
        <v>593.4</v>
      </c>
      <c r="W77" s="666"/>
      <c r="X77" s="672" t="s">
        <v>30</v>
      </c>
      <c r="Y77" s="307" t="s">
        <v>37</v>
      </c>
      <c r="Z77" s="671" t="s">
        <v>32</v>
      </c>
      <c r="AA77" s="671" t="s">
        <v>32</v>
      </c>
      <c r="AB77" s="671" t="s">
        <v>32</v>
      </c>
      <c r="AC77" s="671" t="s">
        <v>52</v>
      </c>
      <c r="AD77" s="670" t="s">
        <v>33</v>
      </c>
      <c r="AE77" s="670" t="s">
        <v>34</v>
      </c>
      <c r="AF77" s="670" t="s">
        <v>35</v>
      </c>
      <c r="AG77" s="677">
        <v>445</v>
      </c>
      <c r="AH77" s="676">
        <v>471</v>
      </c>
      <c r="AI77" s="675">
        <v>8.38</v>
      </c>
      <c r="AJ77" s="396"/>
      <c r="AK77" s="674">
        <f>AK76</f>
        <v>1.02</v>
      </c>
      <c r="AL77" s="670"/>
      <c r="AM77" s="673">
        <f>SUM(AI77:AL77)</f>
        <v>9.4</v>
      </c>
    </row>
    <row r="78" spans="1:39" s="358" customFormat="1" ht="15">
      <c r="A78" s="669"/>
      <c r="B78" s="668"/>
      <c r="C78" s="667"/>
      <c r="D78" s="670"/>
      <c r="E78" s="670"/>
      <c r="F78" s="670"/>
      <c r="G78" s="670"/>
      <c r="H78" s="666"/>
      <c r="I78" s="666"/>
      <c r="J78" s="666"/>
      <c r="K78" s="778"/>
      <c r="L78" s="362" t="s">
        <v>109</v>
      </c>
      <c r="M78" s="786"/>
      <c r="N78" s="782"/>
      <c r="O78" s="780"/>
      <c r="P78" s="667"/>
      <c r="Q78" s="666"/>
      <c r="R78" s="666"/>
      <c r="S78" s="666"/>
      <c r="T78" s="666"/>
      <c r="U78" s="672"/>
      <c r="V78" s="666"/>
      <c r="W78" s="666"/>
      <c r="X78" s="672"/>
      <c r="Y78" s="300" t="s">
        <v>31</v>
      </c>
      <c r="Z78" s="671"/>
      <c r="AA78" s="671"/>
      <c r="AB78" s="671"/>
      <c r="AC78" s="671"/>
      <c r="AD78" s="670"/>
      <c r="AE78" s="670"/>
      <c r="AF78" s="670"/>
      <c r="AG78" s="677"/>
      <c r="AH78" s="676"/>
      <c r="AI78" s="675"/>
      <c r="AJ78" s="396"/>
      <c r="AK78" s="674"/>
      <c r="AL78" s="670"/>
      <c r="AM78" s="673"/>
    </row>
    <row r="79" spans="1:39" s="450" customFormat="1" ht="15">
      <c r="A79" s="437">
        <v>66</v>
      </c>
      <c r="B79" s="438"/>
      <c r="C79" s="439">
        <v>5</v>
      </c>
      <c r="D79" s="323">
        <v>1997</v>
      </c>
      <c r="E79" s="323" t="s">
        <v>28</v>
      </c>
      <c r="F79" s="323">
        <v>3</v>
      </c>
      <c r="G79" s="323" t="s">
        <v>38</v>
      </c>
      <c r="H79" s="440">
        <f>V79</f>
        <v>460</v>
      </c>
      <c r="I79" s="440">
        <v>6085</v>
      </c>
      <c r="J79" s="440">
        <f aca="true" t="shared" si="15" ref="J79:J93">K79+Q79+R79</f>
        <v>1380.9</v>
      </c>
      <c r="K79" s="441">
        <v>1278.9</v>
      </c>
      <c r="L79" s="441"/>
      <c r="M79" s="467">
        <v>49</v>
      </c>
      <c r="N79" s="443">
        <v>24</v>
      </c>
      <c r="O79" s="439">
        <v>1</v>
      </c>
      <c r="P79" s="439">
        <v>2</v>
      </c>
      <c r="Q79" s="440">
        <v>102</v>
      </c>
      <c r="R79" s="440">
        <f aca="true" t="shared" si="16" ref="R79:R93">SUM(S79:T79)</f>
        <v>0</v>
      </c>
      <c r="S79" s="440"/>
      <c r="T79" s="440"/>
      <c r="U79" s="444"/>
      <c r="V79" s="440">
        <v>460</v>
      </c>
      <c r="W79" s="440"/>
      <c r="X79" s="444" t="s">
        <v>30</v>
      </c>
      <c r="Y79" s="444" t="s">
        <v>37</v>
      </c>
      <c r="Z79" s="445" t="s">
        <v>32</v>
      </c>
      <c r="AA79" s="445" t="s">
        <v>32</v>
      </c>
      <c r="AB79" s="445" t="s">
        <v>32</v>
      </c>
      <c r="AC79" s="445" t="s">
        <v>52</v>
      </c>
      <c r="AD79" s="323" t="s">
        <v>33</v>
      </c>
      <c r="AE79" s="323" t="s">
        <v>34</v>
      </c>
      <c r="AF79" s="323" t="s">
        <v>35</v>
      </c>
      <c r="AG79" s="468">
        <v>350</v>
      </c>
      <c r="AH79" s="446"/>
      <c r="AI79" s="447">
        <v>11</v>
      </c>
      <c r="AJ79" s="447">
        <v>2.78</v>
      </c>
      <c r="AK79" s="469">
        <f aca="true" t="shared" si="17" ref="AK79:AK93">AK$8</f>
        <v>1.02</v>
      </c>
      <c r="AL79" s="448"/>
      <c r="AM79" s="449">
        <f aca="true" t="shared" si="18" ref="AM79:AM93">SUM(AI79:AL79)</f>
        <v>14.799999999999999</v>
      </c>
    </row>
    <row r="80" spans="1:39" s="358" customFormat="1" ht="15">
      <c r="A80" s="331">
        <v>67</v>
      </c>
      <c r="B80" s="292" t="s">
        <v>48</v>
      </c>
      <c r="C80" s="294">
        <v>1</v>
      </c>
      <c r="D80" s="296">
        <v>1982</v>
      </c>
      <c r="E80" s="296" t="s">
        <v>28</v>
      </c>
      <c r="F80" s="296">
        <v>2</v>
      </c>
      <c r="G80" s="296" t="s">
        <v>29</v>
      </c>
      <c r="H80" s="302">
        <f aca="true" t="shared" si="19" ref="H80:H89">J80*288/342.6</f>
        <v>695.2854640980736</v>
      </c>
      <c r="I80" s="302">
        <v>2918</v>
      </c>
      <c r="J80" s="302">
        <f t="shared" si="15"/>
        <v>827.1</v>
      </c>
      <c r="K80" s="356">
        <v>752.7</v>
      </c>
      <c r="L80" s="356"/>
      <c r="M80" s="298">
        <v>76.8</v>
      </c>
      <c r="N80" s="299">
        <v>18</v>
      </c>
      <c r="O80" s="294">
        <v>2</v>
      </c>
      <c r="P80" s="294">
        <v>2</v>
      </c>
      <c r="Q80" s="302">
        <v>74.4</v>
      </c>
      <c r="R80" s="302">
        <f t="shared" si="16"/>
        <v>0</v>
      </c>
      <c r="S80" s="302"/>
      <c r="T80" s="302"/>
      <c r="U80" s="300"/>
      <c r="V80" s="320"/>
      <c r="W80" s="320"/>
      <c r="X80" s="300" t="s">
        <v>30</v>
      </c>
      <c r="Y80" s="300" t="s">
        <v>31</v>
      </c>
      <c r="Z80" s="305" t="s">
        <v>32</v>
      </c>
      <c r="AA80" s="305" t="s">
        <v>32</v>
      </c>
      <c r="AB80" s="305" t="s">
        <v>32</v>
      </c>
      <c r="AC80" s="305" t="s">
        <v>52</v>
      </c>
      <c r="AD80" s="296" t="s">
        <v>33</v>
      </c>
      <c r="AE80" s="296" t="s">
        <v>34</v>
      </c>
      <c r="AF80" s="296" t="s">
        <v>35</v>
      </c>
      <c r="AG80" s="366">
        <v>169</v>
      </c>
      <c r="AH80" s="357">
        <v>115</v>
      </c>
      <c r="AI80" s="306">
        <v>7.52</v>
      </c>
      <c r="AJ80" s="306"/>
      <c r="AK80" s="326">
        <f t="shared" si="17"/>
        <v>1.02</v>
      </c>
      <c r="AL80" s="293"/>
      <c r="AM80" s="332">
        <f t="shared" si="18"/>
        <v>8.54</v>
      </c>
    </row>
    <row r="81" spans="1:39" s="392" customFormat="1" ht="15">
      <c r="A81" s="376">
        <v>68</v>
      </c>
      <c r="B81" s="377"/>
      <c r="C81" s="378">
        <v>2</v>
      </c>
      <c r="D81" s="379">
        <v>1981</v>
      </c>
      <c r="E81" s="379" t="s">
        <v>28</v>
      </c>
      <c r="F81" s="379">
        <v>2</v>
      </c>
      <c r="G81" s="379" t="s">
        <v>29</v>
      </c>
      <c r="H81" s="380">
        <f t="shared" si="19"/>
        <v>706.802101576182</v>
      </c>
      <c r="I81" s="380">
        <v>2969</v>
      </c>
      <c r="J81" s="380">
        <f t="shared" si="15"/>
        <v>840.8</v>
      </c>
      <c r="K81" s="381">
        <v>759.8</v>
      </c>
      <c r="L81" s="381"/>
      <c r="M81" s="382">
        <v>130.5</v>
      </c>
      <c r="N81" s="383">
        <v>16</v>
      </c>
      <c r="O81" s="378">
        <v>2</v>
      </c>
      <c r="P81" s="378">
        <v>2</v>
      </c>
      <c r="Q81" s="380">
        <v>81</v>
      </c>
      <c r="R81" s="380">
        <f t="shared" si="16"/>
        <v>0</v>
      </c>
      <c r="S81" s="380"/>
      <c r="T81" s="380"/>
      <c r="U81" s="384"/>
      <c r="V81" s="380"/>
      <c r="W81" s="380"/>
      <c r="X81" s="384" t="s">
        <v>30</v>
      </c>
      <c r="Y81" s="384" t="s">
        <v>31</v>
      </c>
      <c r="Z81" s="385" t="s">
        <v>32</v>
      </c>
      <c r="AA81" s="385" t="s">
        <v>32</v>
      </c>
      <c r="AB81" s="385" t="s">
        <v>32</v>
      </c>
      <c r="AC81" s="385" t="s">
        <v>52</v>
      </c>
      <c r="AD81" s="379" t="s">
        <v>33</v>
      </c>
      <c r="AE81" s="379" t="s">
        <v>34</v>
      </c>
      <c r="AF81" s="379" t="s">
        <v>35</v>
      </c>
      <c r="AG81" s="386">
        <v>170</v>
      </c>
      <c r="AH81" s="387">
        <v>116</v>
      </c>
      <c r="AI81" s="388">
        <v>7.52</v>
      </c>
      <c r="AJ81" s="388"/>
      <c r="AK81" s="389">
        <f t="shared" si="17"/>
        <v>1.02</v>
      </c>
      <c r="AL81" s="390"/>
      <c r="AM81" s="391">
        <f t="shared" si="18"/>
        <v>8.54</v>
      </c>
    </row>
    <row r="82" spans="1:39" s="392" customFormat="1" ht="15">
      <c r="A82" s="376">
        <v>69</v>
      </c>
      <c r="B82" s="377"/>
      <c r="C82" s="378">
        <v>3</v>
      </c>
      <c r="D82" s="379">
        <v>1967</v>
      </c>
      <c r="E82" s="379" t="s">
        <v>28</v>
      </c>
      <c r="F82" s="379">
        <v>2</v>
      </c>
      <c r="G82" s="379" t="s">
        <v>29</v>
      </c>
      <c r="H82" s="380">
        <f t="shared" si="19"/>
        <v>288.50437828371275</v>
      </c>
      <c r="I82" s="380">
        <v>1337</v>
      </c>
      <c r="J82" s="380">
        <f t="shared" si="15"/>
        <v>343.2</v>
      </c>
      <c r="K82" s="381">
        <v>309.4</v>
      </c>
      <c r="L82" s="381"/>
      <c r="M82" s="382">
        <v>38.1</v>
      </c>
      <c r="N82" s="383">
        <v>8</v>
      </c>
      <c r="O82" s="378">
        <v>1</v>
      </c>
      <c r="P82" s="378">
        <v>1</v>
      </c>
      <c r="Q82" s="380">
        <v>33.8</v>
      </c>
      <c r="R82" s="380">
        <f t="shared" si="16"/>
        <v>0</v>
      </c>
      <c r="S82" s="380"/>
      <c r="T82" s="380"/>
      <c r="U82" s="384"/>
      <c r="V82" s="380"/>
      <c r="W82" s="380"/>
      <c r="X82" s="384" t="s">
        <v>30</v>
      </c>
      <c r="Y82" s="384" t="s">
        <v>31</v>
      </c>
      <c r="Z82" s="385" t="s">
        <v>32</v>
      </c>
      <c r="AA82" s="385" t="s">
        <v>32</v>
      </c>
      <c r="AB82" s="385" t="s">
        <v>32</v>
      </c>
      <c r="AC82" s="385" t="s">
        <v>52</v>
      </c>
      <c r="AD82" s="379" t="s">
        <v>33</v>
      </c>
      <c r="AE82" s="379" t="s">
        <v>34</v>
      </c>
      <c r="AF82" s="379" t="s">
        <v>35</v>
      </c>
      <c r="AG82" s="386">
        <v>85</v>
      </c>
      <c r="AH82" s="387"/>
      <c r="AI82" s="388">
        <v>7.71</v>
      </c>
      <c r="AJ82" s="388"/>
      <c r="AK82" s="389">
        <f t="shared" si="17"/>
        <v>1.02</v>
      </c>
      <c r="AL82" s="390"/>
      <c r="AM82" s="391">
        <f t="shared" si="18"/>
        <v>8.73</v>
      </c>
    </row>
    <row r="83" spans="1:39" s="392" customFormat="1" ht="15">
      <c r="A83" s="376">
        <v>70</v>
      </c>
      <c r="B83" s="377"/>
      <c r="C83" s="378">
        <v>4</v>
      </c>
      <c r="D83" s="379">
        <v>1978</v>
      </c>
      <c r="E83" s="379" t="s">
        <v>28</v>
      </c>
      <c r="F83" s="379">
        <v>2</v>
      </c>
      <c r="G83" s="379" t="s">
        <v>29</v>
      </c>
      <c r="H83" s="380">
        <f t="shared" si="19"/>
        <v>335.83187390542906</v>
      </c>
      <c r="I83" s="380">
        <v>1457</v>
      </c>
      <c r="J83" s="380">
        <f t="shared" si="15"/>
        <v>399.5</v>
      </c>
      <c r="K83" s="381">
        <v>372.2</v>
      </c>
      <c r="L83" s="381"/>
      <c r="M83" s="382">
        <v>0</v>
      </c>
      <c r="N83" s="383">
        <v>8</v>
      </c>
      <c r="O83" s="378">
        <v>0</v>
      </c>
      <c r="P83" s="378">
        <v>1</v>
      </c>
      <c r="Q83" s="380">
        <v>27.3</v>
      </c>
      <c r="R83" s="380">
        <f t="shared" si="16"/>
        <v>0</v>
      </c>
      <c r="S83" s="380"/>
      <c r="T83" s="380"/>
      <c r="U83" s="384"/>
      <c r="V83" s="380"/>
      <c r="W83" s="380"/>
      <c r="X83" s="384" t="s">
        <v>30</v>
      </c>
      <c r="Y83" s="384" t="s">
        <v>31</v>
      </c>
      <c r="Z83" s="385" t="s">
        <v>32</v>
      </c>
      <c r="AA83" s="385" t="s">
        <v>32</v>
      </c>
      <c r="AB83" s="385" t="s">
        <v>32</v>
      </c>
      <c r="AC83" s="385" t="s">
        <v>52</v>
      </c>
      <c r="AD83" s="379" t="s">
        <v>33</v>
      </c>
      <c r="AE83" s="379" t="s">
        <v>34</v>
      </c>
      <c r="AF83" s="379" t="s">
        <v>35</v>
      </c>
      <c r="AG83" s="386">
        <v>200</v>
      </c>
      <c r="AH83" s="387"/>
      <c r="AI83" s="388">
        <v>7.52</v>
      </c>
      <c r="AJ83" s="388"/>
      <c r="AK83" s="389">
        <f t="shared" si="17"/>
        <v>1.02</v>
      </c>
      <c r="AL83" s="390"/>
      <c r="AM83" s="391">
        <f t="shared" si="18"/>
        <v>8.54</v>
      </c>
    </row>
    <row r="84" spans="1:39" s="392" customFormat="1" ht="15">
      <c r="A84" s="376">
        <v>71</v>
      </c>
      <c r="B84" s="377"/>
      <c r="C84" s="378">
        <v>5</v>
      </c>
      <c r="D84" s="379">
        <v>1962</v>
      </c>
      <c r="E84" s="379" t="s">
        <v>28</v>
      </c>
      <c r="F84" s="379">
        <v>2</v>
      </c>
      <c r="G84" s="379" t="s">
        <v>29</v>
      </c>
      <c r="H84" s="380">
        <f t="shared" si="19"/>
        <v>293.7162872154115</v>
      </c>
      <c r="I84" s="380">
        <v>1312</v>
      </c>
      <c r="J84" s="380">
        <f t="shared" si="15"/>
        <v>349.4</v>
      </c>
      <c r="K84" s="381">
        <v>316.4</v>
      </c>
      <c r="L84" s="381"/>
      <c r="M84" s="382">
        <v>158.7</v>
      </c>
      <c r="N84" s="383">
        <v>8</v>
      </c>
      <c r="O84" s="378">
        <v>4</v>
      </c>
      <c r="P84" s="378">
        <v>1</v>
      </c>
      <c r="Q84" s="380">
        <v>33</v>
      </c>
      <c r="R84" s="380">
        <f t="shared" si="16"/>
        <v>0</v>
      </c>
      <c r="S84" s="380"/>
      <c r="T84" s="380"/>
      <c r="U84" s="384"/>
      <c r="V84" s="380"/>
      <c r="W84" s="380"/>
      <c r="X84" s="384" t="s">
        <v>30</v>
      </c>
      <c r="Y84" s="384" t="s">
        <v>31</v>
      </c>
      <c r="Z84" s="385" t="s">
        <v>32</v>
      </c>
      <c r="AA84" s="385" t="s">
        <v>32</v>
      </c>
      <c r="AB84" s="385" t="s">
        <v>32</v>
      </c>
      <c r="AC84" s="385" t="s">
        <v>52</v>
      </c>
      <c r="AD84" s="379" t="s">
        <v>33</v>
      </c>
      <c r="AE84" s="379" t="s">
        <v>34</v>
      </c>
      <c r="AF84" s="379" t="s">
        <v>35</v>
      </c>
      <c r="AG84" s="386">
        <v>85</v>
      </c>
      <c r="AH84" s="387"/>
      <c r="AI84" s="388">
        <v>7.71</v>
      </c>
      <c r="AJ84" s="388"/>
      <c r="AK84" s="389">
        <f t="shared" si="17"/>
        <v>1.02</v>
      </c>
      <c r="AL84" s="390"/>
      <c r="AM84" s="391">
        <f t="shared" si="18"/>
        <v>8.73</v>
      </c>
    </row>
    <row r="85" spans="1:39" s="392" customFormat="1" ht="15">
      <c r="A85" s="376">
        <v>72</v>
      </c>
      <c r="B85" s="377"/>
      <c r="C85" s="378">
        <v>6</v>
      </c>
      <c r="D85" s="379">
        <v>1977</v>
      </c>
      <c r="E85" s="379" t="s">
        <v>28</v>
      </c>
      <c r="F85" s="379">
        <v>2</v>
      </c>
      <c r="G85" s="379" t="s">
        <v>29</v>
      </c>
      <c r="H85" s="380">
        <f t="shared" si="19"/>
        <v>344.23817863397545</v>
      </c>
      <c r="I85" s="380">
        <v>1445</v>
      </c>
      <c r="J85" s="380">
        <f t="shared" si="15"/>
        <v>409.5</v>
      </c>
      <c r="K85" s="381">
        <v>380.7</v>
      </c>
      <c r="L85" s="381"/>
      <c r="M85" s="382">
        <v>101.6</v>
      </c>
      <c r="N85" s="383">
        <v>8</v>
      </c>
      <c r="O85" s="378">
        <v>2</v>
      </c>
      <c r="P85" s="378">
        <v>1</v>
      </c>
      <c r="Q85" s="380">
        <v>28.8</v>
      </c>
      <c r="R85" s="380">
        <f t="shared" si="16"/>
        <v>0</v>
      </c>
      <c r="S85" s="380"/>
      <c r="T85" s="380"/>
      <c r="U85" s="384"/>
      <c r="V85" s="380"/>
      <c r="W85" s="380"/>
      <c r="X85" s="384" t="s">
        <v>30</v>
      </c>
      <c r="Y85" s="384" t="s">
        <v>31</v>
      </c>
      <c r="Z85" s="385" t="s">
        <v>32</v>
      </c>
      <c r="AA85" s="385" t="s">
        <v>32</v>
      </c>
      <c r="AB85" s="385" t="s">
        <v>32</v>
      </c>
      <c r="AC85" s="385" t="s">
        <v>52</v>
      </c>
      <c r="AD85" s="379" t="s">
        <v>33</v>
      </c>
      <c r="AE85" s="379" t="s">
        <v>34</v>
      </c>
      <c r="AF85" s="379" t="s">
        <v>35</v>
      </c>
      <c r="AG85" s="386">
        <v>200</v>
      </c>
      <c r="AH85" s="387"/>
      <c r="AI85" s="388">
        <v>7.71</v>
      </c>
      <c r="AJ85" s="388"/>
      <c r="AK85" s="389">
        <f t="shared" si="17"/>
        <v>1.02</v>
      </c>
      <c r="AL85" s="390"/>
      <c r="AM85" s="391">
        <f t="shared" si="18"/>
        <v>8.73</v>
      </c>
    </row>
    <row r="86" spans="1:39" s="392" customFormat="1" ht="15">
      <c r="A86" s="376">
        <v>73</v>
      </c>
      <c r="B86" s="377"/>
      <c r="C86" s="378">
        <v>7</v>
      </c>
      <c r="D86" s="379">
        <v>1968</v>
      </c>
      <c r="E86" s="379" t="s">
        <v>28</v>
      </c>
      <c r="F86" s="379">
        <v>2</v>
      </c>
      <c r="G86" s="379" t="s">
        <v>29</v>
      </c>
      <c r="H86" s="380">
        <f t="shared" si="19"/>
        <v>287.5796847635727</v>
      </c>
      <c r="I86" s="380">
        <v>1337</v>
      </c>
      <c r="J86" s="380">
        <f t="shared" si="15"/>
        <v>342.1</v>
      </c>
      <c r="K86" s="381">
        <v>304.3</v>
      </c>
      <c r="L86" s="381"/>
      <c r="M86" s="382">
        <v>119.6</v>
      </c>
      <c r="N86" s="383">
        <v>9</v>
      </c>
      <c r="O86" s="378">
        <v>4</v>
      </c>
      <c r="P86" s="378">
        <v>1</v>
      </c>
      <c r="Q86" s="380">
        <v>37.8</v>
      </c>
      <c r="R86" s="380">
        <f t="shared" si="16"/>
        <v>0</v>
      </c>
      <c r="S86" s="380"/>
      <c r="T86" s="380"/>
      <c r="U86" s="384"/>
      <c r="V86" s="380"/>
      <c r="W86" s="380"/>
      <c r="X86" s="384" t="s">
        <v>30</v>
      </c>
      <c r="Y86" s="384" t="s">
        <v>31</v>
      </c>
      <c r="Z86" s="385" t="s">
        <v>32</v>
      </c>
      <c r="AA86" s="385" t="s">
        <v>32</v>
      </c>
      <c r="AB86" s="385" t="s">
        <v>32</v>
      </c>
      <c r="AC86" s="385" t="s">
        <v>52</v>
      </c>
      <c r="AD86" s="379" t="s">
        <v>33</v>
      </c>
      <c r="AE86" s="379" t="s">
        <v>34</v>
      </c>
      <c r="AF86" s="379" t="s">
        <v>35</v>
      </c>
      <c r="AG86" s="386">
        <v>85</v>
      </c>
      <c r="AH86" s="387"/>
      <c r="AI86" s="388">
        <v>7.71</v>
      </c>
      <c r="AJ86" s="388"/>
      <c r="AK86" s="389">
        <f t="shared" si="17"/>
        <v>1.02</v>
      </c>
      <c r="AL86" s="390"/>
      <c r="AM86" s="391">
        <f t="shared" si="18"/>
        <v>8.73</v>
      </c>
    </row>
    <row r="87" spans="1:39" s="392" customFormat="1" ht="15">
      <c r="A87" s="376">
        <v>74</v>
      </c>
      <c r="B87" s="377"/>
      <c r="C87" s="378">
        <v>8</v>
      </c>
      <c r="D87" s="379">
        <v>1974</v>
      </c>
      <c r="E87" s="379" t="s">
        <v>28</v>
      </c>
      <c r="F87" s="379">
        <v>2</v>
      </c>
      <c r="G87" s="379" t="s">
        <v>29</v>
      </c>
      <c r="H87" s="380">
        <f t="shared" si="19"/>
        <v>338.2697022767075</v>
      </c>
      <c r="I87" s="380">
        <v>1430</v>
      </c>
      <c r="J87" s="380">
        <f t="shared" si="15"/>
        <v>402.4</v>
      </c>
      <c r="K87" s="381">
        <v>374.5</v>
      </c>
      <c r="L87" s="381"/>
      <c r="M87" s="382">
        <v>44.9</v>
      </c>
      <c r="N87" s="383">
        <v>8</v>
      </c>
      <c r="O87" s="378">
        <v>1</v>
      </c>
      <c r="P87" s="378">
        <v>1</v>
      </c>
      <c r="Q87" s="380">
        <v>27.9</v>
      </c>
      <c r="R87" s="380">
        <f t="shared" si="16"/>
        <v>0</v>
      </c>
      <c r="S87" s="380"/>
      <c r="T87" s="380"/>
      <c r="U87" s="384"/>
      <c r="V87" s="380"/>
      <c r="W87" s="380"/>
      <c r="X87" s="384" t="s">
        <v>30</v>
      </c>
      <c r="Y87" s="384" t="s">
        <v>31</v>
      </c>
      <c r="Z87" s="385" t="s">
        <v>32</v>
      </c>
      <c r="AA87" s="385" t="s">
        <v>32</v>
      </c>
      <c r="AB87" s="385" t="s">
        <v>32</v>
      </c>
      <c r="AC87" s="385" t="s">
        <v>52</v>
      </c>
      <c r="AD87" s="379" t="s">
        <v>33</v>
      </c>
      <c r="AE87" s="379" t="s">
        <v>34</v>
      </c>
      <c r="AF87" s="379" t="s">
        <v>35</v>
      </c>
      <c r="AG87" s="386">
        <v>200</v>
      </c>
      <c r="AH87" s="387"/>
      <c r="AI87" s="388">
        <v>7.71</v>
      </c>
      <c r="AJ87" s="388"/>
      <c r="AK87" s="389">
        <f t="shared" si="17"/>
        <v>1.02</v>
      </c>
      <c r="AL87" s="390"/>
      <c r="AM87" s="391">
        <f t="shared" si="18"/>
        <v>8.73</v>
      </c>
    </row>
    <row r="88" spans="1:39" s="392" customFormat="1" ht="15">
      <c r="A88" s="376">
        <v>75</v>
      </c>
      <c r="B88" s="377"/>
      <c r="C88" s="378">
        <v>9</v>
      </c>
      <c r="D88" s="379">
        <v>1970</v>
      </c>
      <c r="E88" s="379" t="s">
        <v>28</v>
      </c>
      <c r="F88" s="379">
        <v>2</v>
      </c>
      <c r="G88" s="379" t="s">
        <v>29</v>
      </c>
      <c r="H88" s="380">
        <f t="shared" si="19"/>
        <v>316.3292469352014</v>
      </c>
      <c r="I88" s="380">
        <v>1323</v>
      </c>
      <c r="J88" s="380">
        <f t="shared" si="15"/>
        <v>376.3</v>
      </c>
      <c r="K88" s="381">
        <v>340.7</v>
      </c>
      <c r="L88" s="381"/>
      <c r="M88" s="382">
        <v>211.8</v>
      </c>
      <c r="N88" s="383">
        <v>8</v>
      </c>
      <c r="O88" s="378">
        <v>5</v>
      </c>
      <c r="P88" s="378">
        <v>1</v>
      </c>
      <c r="Q88" s="380">
        <v>35.6</v>
      </c>
      <c r="R88" s="380">
        <f t="shared" si="16"/>
        <v>0</v>
      </c>
      <c r="S88" s="380"/>
      <c r="T88" s="380"/>
      <c r="U88" s="384"/>
      <c r="V88" s="380"/>
      <c r="W88" s="380"/>
      <c r="X88" s="384" t="s">
        <v>30</v>
      </c>
      <c r="Y88" s="384" t="s">
        <v>31</v>
      </c>
      <c r="Z88" s="385" t="s">
        <v>32</v>
      </c>
      <c r="AA88" s="385" t="s">
        <v>32</v>
      </c>
      <c r="AB88" s="385" t="s">
        <v>32</v>
      </c>
      <c r="AC88" s="385" t="s">
        <v>52</v>
      </c>
      <c r="AD88" s="379" t="s">
        <v>33</v>
      </c>
      <c r="AE88" s="379" t="s">
        <v>34</v>
      </c>
      <c r="AF88" s="379" t="s">
        <v>35</v>
      </c>
      <c r="AG88" s="386">
        <v>85</v>
      </c>
      <c r="AH88" s="387"/>
      <c r="AI88" s="388">
        <v>7.71</v>
      </c>
      <c r="AJ88" s="388"/>
      <c r="AK88" s="389">
        <f t="shared" si="17"/>
        <v>1.02</v>
      </c>
      <c r="AL88" s="390"/>
      <c r="AM88" s="391">
        <f t="shared" si="18"/>
        <v>8.73</v>
      </c>
    </row>
    <row r="89" spans="1:39" s="392" customFormat="1" ht="15">
      <c r="A89" s="376">
        <v>76</v>
      </c>
      <c r="B89" s="377"/>
      <c r="C89" s="378">
        <v>10</v>
      </c>
      <c r="D89" s="379">
        <v>1973</v>
      </c>
      <c r="E89" s="379" t="s">
        <v>28</v>
      </c>
      <c r="F89" s="379">
        <v>2</v>
      </c>
      <c r="G89" s="379" t="s">
        <v>29</v>
      </c>
      <c r="H89" s="380">
        <f t="shared" si="19"/>
        <v>340.45534150612957</v>
      </c>
      <c r="I89" s="380">
        <v>1351</v>
      </c>
      <c r="J89" s="380">
        <f t="shared" si="15"/>
        <v>405</v>
      </c>
      <c r="K89" s="381">
        <v>377.1</v>
      </c>
      <c r="L89" s="381"/>
      <c r="M89" s="382">
        <v>43.3</v>
      </c>
      <c r="N89" s="383">
        <v>8</v>
      </c>
      <c r="O89" s="378">
        <v>1</v>
      </c>
      <c r="P89" s="378">
        <v>1</v>
      </c>
      <c r="Q89" s="380">
        <v>27.9</v>
      </c>
      <c r="R89" s="380">
        <f t="shared" si="16"/>
        <v>0</v>
      </c>
      <c r="S89" s="380"/>
      <c r="T89" s="380"/>
      <c r="U89" s="384"/>
      <c r="V89" s="380"/>
      <c r="W89" s="380"/>
      <c r="X89" s="384" t="s">
        <v>30</v>
      </c>
      <c r="Y89" s="384" t="s">
        <v>31</v>
      </c>
      <c r="Z89" s="385" t="s">
        <v>32</v>
      </c>
      <c r="AA89" s="385" t="s">
        <v>32</v>
      </c>
      <c r="AB89" s="385" t="s">
        <v>32</v>
      </c>
      <c r="AC89" s="385" t="s">
        <v>52</v>
      </c>
      <c r="AD89" s="379" t="s">
        <v>33</v>
      </c>
      <c r="AE89" s="379" t="s">
        <v>34</v>
      </c>
      <c r="AF89" s="379" t="s">
        <v>35</v>
      </c>
      <c r="AG89" s="386">
        <v>200</v>
      </c>
      <c r="AH89" s="387"/>
      <c r="AI89" s="388">
        <v>7.71</v>
      </c>
      <c r="AJ89" s="388"/>
      <c r="AK89" s="389">
        <f t="shared" si="17"/>
        <v>1.02</v>
      </c>
      <c r="AL89" s="390"/>
      <c r="AM89" s="391">
        <f t="shared" si="18"/>
        <v>8.73</v>
      </c>
    </row>
    <row r="90" spans="1:39" s="392" customFormat="1" ht="15">
      <c r="A90" s="376">
        <v>77</v>
      </c>
      <c r="B90" s="377"/>
      <c r="C90" s="378">
        <v>11</v>
      </c>
      <c r="D90" s="379">
        <v>1973</v>
      </c>
      <c r="E90" s="379" t="s">
        <v>28</v>
      </c>
      <c r="F90" s="379">
        <v>2</v>
      </c>
      <c r="G90" s="379" t="s">
        <v>29</v>
      </c>
      <c r="H90" s="393">
        <v>340</v>
      </c>
      <c r="I90" s="380">
        <v>1403</v>
      </c>
      <c r="J90" s="380">
        <f t="shared" si="15"/>
        <v>399.70000000000005</v>
      </c>
      <c r="K90" s="381">
        <v>371.6</v>
      </c>
      <c r="L90" s="381"/>
      <c r="M90" s="382">
        <v>56.2</v>
      </c>
      <c r="N90" s="383">
        <v>8</v>
      </c>
      <c r="O90" s="378">
        <v>1</v>
      </c>
      <c r="P90" s="378">
        <v>1</v>
      </c>
      <c r="Q90" s="380">
        <v>28.1</v>
      </c>
      <c r="R90" s="380">
        <f t="shared" si="16"/>
        <v>0</v>
      </c>
      <c r="S90" s="380"/>
      <c r="T90" s="380"/>
      <c r="U90" s="384"/>
      <c r="V90" s="380"/>
      <c r="W90" s="380"/>
      <c r="X90" s="384" t="s">
        <v>30</v>
      </c>
      <c r="Y90" s="384" t="s">
        <v>31</v>
      </c>
      <c r="Z90" s="385" t="s">
        <v>32</v>
      </c>
      <c r="AA90" s="385" t="s">
        <v>32</v>
      </c>
      <c r="AB90" s="385" t="s">
        <v>32</v>
      </c>
      <c r="AC90" s="385" t="s">
        <v>52</v>
      </c>
      <c r="AD90" s="379" t="s">
        <v>33</v>
      </c>
      <c r="AE90" s="379" t="s">
        <v>34</v>
      </c>
      <c r="AF90" s="379" t="s">
        <v>35</v>
      </c>
      <c r="AG90" s="386">
        <v>85</v>
      </c>
      <c r="AH90" s="387"/>
      <c r="AI90" s="388">
        <v>7.71</v>
      </c>
      <c r="AJ90" s="388"/>
      <c r="AK90" s="389">
        <f t="shared" si="17"/>
        <v>1.02</v>
      </c>
      <c r="AL90" s="390"/>
      <c r="AM90" s="391">
        <f t="shared" si="18"/>
        <v>8.73</v>
      </c>
    </row>
    <row r="91" spans="1:39" s="392" customFormat="1" ht="15">
      <c r="A91" s="376">
        <v>78</v>
      </c>
      <c r="B91" s="377"/>
      <c r="C91" s="378">
        <v>12</v>
      </c>
      <c r="D91" s="379">
        <v>1980</v>
      </c>
      <c r="E91" s="379" t="s">
        <v>28</v>
      </c>
      <c r="F91" s="379">
        <v>2</v>
      </c>
      <c r="G91" s="379" t="s">
        <v>29</v>
      </c>
      <c r="H91" s="380">
        <f>J91*288/342.6</f>
        <v>338.01751313485113</v>
      </c>
      <c r="I91" s="380">
        <v>1495</v>
      </c>
      <c r="J91" s="380">
        <f t="shared" si="15"/>
        <v>402.1</v>
      </c>
      <c r="K91" s="381">
        <v>374.1</v>
      </c>
      <c r="L91" s="381"/>
      <c r="M91" s="382">
        <v>143</v>
      </c>
      <c r="N91" s="383">
        <v>8</v>
      </c>
      <c r="O91" s="378">
        <v>3</v>
      </c>
      <c r="P91" s="378">
        <v>1</v>
      </c>
      <c r="Q91" s="380">
        <v>28</v>
      </c>
      <c r="R91" s="380">
        <f t="shared" si="16"/>
        <v>0</v>
      </c>
      <c r="S91" s="380"/>
      <c r="T91" s="380"/>
      <c r="U91" s="384"/>
      <c r="V91" s="380"/>
      <c r="W91" s="380"/>
      <c r="X91" s="384" t="s">
        <v>30</v>
      </c>
      <c r="Y91" s="384" t="s">
        <v>31</v>
      </c>
      <c r="Z91" s="385" t="s">
        <v>32</v>
      </c>
      <c r="AA91" s="385" t="s">
        <v>32</v>
      </c>
      <c r="AB91" s="385" t="s">
        <v>32</v>
      </c>
      <c r="AC91" s="385" t="s">
        <v>52</v>
      </c>
      <c r="AD91" s="379" t="s">
        <v>33</v>
      </c>
      <c r="AE91" s="379" t="s">
        <v>34</v>
      </c>
      <c r="AF91" s="379" t="s">
        <v>35</v>
      </c>
      <c r="AG91" s="386">
        <v>200</v>
      </c>
      <c r="AH91" s="387"/>
      <c r="AI91" s="388">
        <v>7.52</v>
      </c>
      <c r="AJ91" s="388"/>
      <c r="AK91" s="389">
        <f t="shared" si="17"/>
        <v>1.02</v>
      </c>
      <c r="AL91" s="390"/>
      <c r="AM91" s="391">
        <f t="shared" si="18"/>
        <v>8.54</v>
      </c>
    </row>
    <row r="92" spans="1:39" s="358" customFormat="1" ht="15">
      <c r="A92" s="331">
        <v>79</v>
      </c>
      <c r="B92" s="292"/>
      <c r="C92" s="294">
        <v>13</v>
      </c>
      <c r="D92" s="296">
        <v>1973</v>
      </c>
      <c r="E92" s="296" t="s">
        <v>28</v>
      </c>
      <c r="F92" s="296">
        <v>2</v>
      </c>
      <c r="G92" s="296" t="s">
        <v>29</v>
      </c>
      <c r="H92" s="302">
        <f>J92*288/342.6</f>
        <v>337.092819614711</v>
      </c>
      <c r="I92" s="302">
        <v>1406</v>
      </c>
      <c r="J92" s="302">
        <f t="shared" si="15"/>
        <v>401</v>
      </c>
      <c r="K92" s="356">
        <v>373.6</v>
      </c>
      <c r="L92" s="356"/>
      <c r="M92" s="298">
        <v>87.6</v>
      </c>
      <c r="N92" s="299">
        <v>8</v>
      </c>
      <c r="O92" s="294">
        <v>2</v>
      </c>
      <c r="P92" s="294">
        <v>1</v>
      </c>
      <c r="Q92" s="302">
        <v>27.4</v>
      </c>
      <c r="R92" s="302">
        <f t="shared" si="16"/>
        <v>0</v>
      </c>
      <c r="S92" s="302"/>
      <c r="T92" s="302"/>
      <c r="U92" s="300"/>
      <c r="V92" s="302"/>
      <c r="W92" s="302"/>
      <c r="X92" s="300" t="s">
        <v>30</v>
      </c>
      <c r="Y92" s="300" t="s">
        <v>31</v>
      </c>
      <c r="Z92" s="305" t="s">
        <v>32</v>
      </c>
      <c r="AA92" s="305" t="s">
        <v>32</v>
      </c>
      <c r="AB92" s="305" t="s">
        <v>32</v>
      </c>
      <c r="AC92" s="305" t="s">
        <v>52</v>
      </c>
      <c r="AD92" s="296" t="s">
        <v>33</v>
      </c>
      <c r="AE92" s="296" t="s">
        <v>34</v>
      </c>
      <c r="AF92" s="296" t="s">
        <v>35</v>
      </c>
      <c r="AG92" s="366">
        <v>85</v>
      </c>
      <c r="AH92" s="357"/>
      <c r="AI92" s="306">
        <v>7.71</v>
      </c>
      <c r="AJ92" s="306"/>
      <c r="AK92" s="326">
        <f t="shared" si="17"/>
        <v>1.02</v>
      </c>
      <c r="AL92" s="293"/>
      <c r="AM92" s="332">
        <f t="shared" si="18"/>
        <v>8.73</v>
      </c>
    </row>
    <row r="93" spans="1:39" s="358" customFormat="1" ht="15.75" thickBot="1">
      <c r="A93" s="336">
        <v>80</v>
      </c>
      <c r="B93" s="337"/>
      <c r="C93" s="338">
        <v>15</v>
      </c>
      <c r="D93" s="339">
        <v>1984</v>
      </c>
      <c r="E93" s="339" t="s">
        <v>28</v>
      </c>
      <c r="F93" s="339">
        <v>1</v>
      </c>
      <c r="G93" s="339" t="s">
        <v>29</v>
      </c>
      <c r="H93" s="340">
        <f>J93*137/123.3</f>
        <v>206.22222222222223</v>
      </c>
      <c r="I93" s="340">
        <v>239.8</v>
      </c>
      <c r="J93" s="340">
        <f t="shared" si="15"/>
        <v>185.6</v>
      </c>
      <c r="K93" s="367">
        <v>170.5</v>
      </c>
      <c r="L93" s="367"/>
      <c r="M93" s="341">
        <v>64.4</v>
      </c>
      <c r="N93" s="342">
        <v>5</v>
      </c>
      <c r="O93" s="338">
        <v>2</v>
      </c>
      <c r="P93" s="338">
        <v>1</v>
      </c>
      <c r="Q93" s="340">
        <v>15.1</v>
      </c>
      <c r="R93" s="340">
        <f t="shared" si="16"/>
        <v>0</v>
      </c>
      <c r="S93" s="340"/>
      <c r="T93" s="340"/>
      <c r="U93" s="343"/>
      <c r="V93" s="340"/>
      <c r="W93" s="340"/>
      <c r="X93" s="343" t="s">
        <v>30</v>
      </c>
      <c r="Y93" s="343" t="s">
        <v>31</v>
      </c>
      <c r="Z93" s="344" t="s">
        <v>32</v>
      </c>
      <c r="AA93" s="344" t="s">
        <v>32</v>
      </c>
      <c r="AB93" s="344" t="s">
        <v>32</v>
      </c>
      <c r="AC93" s="344" t="s">
        <v>52</v>
      </c>
      <c r="AD93" s="339" t="s">
        <v>33</v>
      </c>
      <c r="AE93" s="339" t="s">
        <v>34</v>
      </c>
      <c r="AF93" s="339" t="s">
        <v>35</v>
      </c>
      <c r="AG93" s="368">
        <v>85</v>
      </c>
      <c r="AH93" s="369"/>
      <c r="AI93" s="345">
        <v>8.23</v>
      </c>
      <c r="AJ93" s="345"/>
      <c r="AK93" s="346">
        <f t="shared" si="17"/>
        <v>1.02</v>
      </c>
      <c r="AL93" s="347"/>
      <c r="AM93" s="348">
        <f t="shared" si="18"/>
        <v>9.25</v>
      </c>
    </row>
    <row r="94" spans="1:32" ht="15">
      <c r="A94" s="11"/>
      <c r="B94" s="11"/>
      <c r="C94" s="48"/>
      <c r="D94" s="11"/>
      <c r="E94" s="12"/>
      <c r="F94" s="12"/>
      <c r="G94" s="12"/>
      <c r="H94" s="41"/>
      <c r="I94" s="13"/>
      <c r="J94" s="14"/>
      <c r="K94" s="234">
        <f>K8-K11-K13-K17-SUM(K19:K22)-K30-K32-K34-K71-K74-K79-SUM(K81:K91)</f>
        <v>106780.12000000008</v>
      </c>
      <c r="L94" s="234"/>
      <c r="M94" s="41"/>
      <c r="N94" s="50"/>
      <c r="O94" s="15"/>
      <c r="P94" s="12"/>
      <c r="Q94" s="12"/>
      <c r="R94" s="12"/>
      <c r="S94" s="12"/>
      <c r="T94" s="12"/>
      <c r="U94" s="50"/>
      <c r="V94" s="50"/>
      <c r="W94" s="50"/>
      <c r="X94" s="12"/>
      <c r="Y94" s="12"/>
      <c r="Z94" s="12"/>
      <c r="AA94" s="12"/>
      <c r="AB94" s="12"/>
      <c r="AC94" s="12"/>
      <c r="AD94" s="11"/>
      <c r="AE94" s="6"/>
      <c r="AF94" s="32"/>
    </row>
    <row r="95" spans="1:34" ht="15" hidden="1">
      <c r="A95" s="16"/>
      <c r="B95" s="11"/>
      <c r="C95" s="10"/>
      <c r="D95" s="16"/>
      <c r="E95" s="17"/>
      <c r="F95" s="17">
        <v>1</v>
      </c>
      <c r="G95" s="17"/>
      <c r="H95" s="42"/>
      <c r="I95" s="18"/>
      <c r="J95" s="19"/>
      <c r="K95" s="235" t="e">
        <f>#REF!+#REF!+#REF!+#REF!+#REF!</f>
        <v>#REF!</v>
      </c>
      <c r="L95" s="235"/>
      <c r="M95" s="247"/>
      <c r="N95" s="95"/>
      <c r="O95" s="96"/>
      <c r="P95" s="96"/>
      <c r="Q95" s="96"/>
      <c r="R95" s="96"/>
      <c r="S95" s="96"/>
      <c r="T95" s="96"/>
      <c r="U95" s="95"/>
      <c r="V95" s="95"/>
      <c r="W95" s="95"/>
      <c r="X95" s="96"/>
      <c r="Y95" s="96"/>
      <c r="Z95" s="96"/>
      <c r="AA95" s="96"/>
      <c r="AB95" s="96"/>
      <c r="AC95" s="96"/>
      <c r="AD95" s="97"/>
      <c r="AE95" s="94"/>
      <c r="AF95" s="98"/>
      <c r="AG95" s="94">
        <f>AG93</f>
        <v>85</v>
      </c>
      <c r="AH95" s="94">
        <f>AH93</f>
        <v>0</v>
      </c>
    </row>
    <row r="96" spans="1:34" ht="15" hidden="1">
      <c r="A96" s="11"/>
      <c r="B96" s="21"/>
      <c r="C96" s="58"/>
      <c r="D96" s="21"/>
      <c r="E96" s="22"/>
      <c r="F96" s="23">
        <v>2</v>
      </c>
      <c r="G96" s="23"/>
      <c r="H96" s="43"/>
      <c r="I96" s="24"/>
      <c r="J96" s="25" t="s">
        <v>49</v>
      </c>
      <c r="K96" s="235" t="e">
        <f>SUM(#REF!)+#REF!+#REF!+#REF!+#REF!+SUM(#REF!)+#REF!+#REF!+SUM(#REF!)-#REF!</f>
        <v>#REF!</v>
      </c>
      <c r="L96" s="235"/>
      <c r="M96" s="247"/>
      <c r="N96" s="94">
        <f>SUM(N80:N92)+N77+N76+N72+N71+SUM(N56:N62)+N54+N53+SUM(N35:N40)-N76</f>
        <v>384</v>
      </c>
      <c r="O96" s="94"/>
      <c r="P96" s="94">
        <f>SUM(P80:P92)+P77+P76+P72+P71+SUM(P56:P62)+P54+P53+SUM(P35:P40)-P76</f>
        <v>66</v>
      </c>
      <c r="Q96" s="94">
        <f>SUM(Q80:Q92)+Q77+Q76+Q72+Q71+SUM(Q56:Q62)+Q54+Q53+SUM(Q35:Q40)-Q76</f>
        <v>1403.7</v>
      </c>
      <c r="R96" s="94"/>
      <c r="S96" s="94"/>
      <c r="T96" s="94"/>
      <c r="U96" s="94">
        <f>SUM(U80:U92)+U77+U76+U72+U71+SUM(U56:U62)+U54+U53+SUM(U35:U40)-U76</f>
        <v>2331.6</v>
      </c>
      <c r="V96" s="94">
        <f>SUM(V80:V92)+V77+V76+V72+V71+SUM(V56:V62)+V54+V53+SUM(V35:V40)-V76</f>
        <v>5907.4</v>
      </c>
      <c r="W96" s="94"/>
      <c r="X96" s="94" t="e">
        <f>SUM(X80:X92)+X77+X76+X72+X71+SUM(X56:X62)+X54+X53+SUM(X35:X40)-X76</f>
        <v>#VALUE!</v>
      </c>
      <c r="Y96" s="94" t="e">
        <f>SUM(Y80:Y92)+Y77+Y76+Y72+Y71+SUM(Y56:Y62)+Y54+Y53+SUM(Y35:Y40)-Y76</f>
        <v>#VALUE!</v>
      </c>
      <c r="Z96" s="94" t="e">
        <f>SUM(Z80:Z92)+Z77+Z76+Z72+Z71+SUM(Z56:Z62)+Z54+Z53+SUM(Z35:Z40)-Z76</f>
        <v>#VALUE!</v>
      </c>
      <c r="AA96" s="94" t="e">
        <f>SUM(AA80:AA92)+AA77+AA76+AA72+AA71+SUM(AA56:AA62)+AA54+AA53+SUM(AA35:AA40)-AA76</f>
        <v>#VALUE!</v>
      </c>
      <c r="AB96" s="94" t="e">
        <f>SUM(AB80:AB92)+AB77+AB76+AB72+AB71+SUM(AB56:AB62)+AB54+AB53+SUM(AB35:AB40)-AB76</f>
        <v>#VALUE!</v>
      </c>
      <c r="AC96" s="94"/>
      <c r="AD96" s="94" t="e">
        <f>SUM(AD80:AD92)+AD77+AD76+AD72+AD71+SUM(AD56:AD62)+AD54+AD53+SUM(AD35:AD40)-AD76</f>
        <v>#VALUE!</v>
      </c>
      <c r="AE96" s="94" t="e">
        <f>SUM(AE80:AE92)+AE77+AE76+AE72+AE71+SUM(AE56:AE62)+AE54+AE53+SUM(AE35:AE40)-AE76</f>
        <v>#VALUE!</v>
      </c>
      <c r="AF96" s="98" t="e">
        <f>SUM(AF80:AF92)+AF77+AF76+AF72+AF71+SUM(AF56:AF62)+AF54+AF53+SUM(AF35:AF40)-AF76</f>
        <v>#VALUE!</v>
      </c>
      <c r="AG96" s="94">
        <f>SUM(AG80:AG92)+AG77+AG76+AG72+AG71+SUM(AG56:AG62)+AG54+AG53+SUM(AG35:AG40)-AG76</f>
        <v>7321</v>
      </c>
      <c r="AH96" s="94">
        <f>SUM(AH80:AH92)+AH77+AH76+AH72+AH71+SUM(AH56:AH62)+AH54+AH53+SUM(AH35:AH40)-AH76</f>
        <v>4224</v>
      </c>
    </row>
    <row r="97" spans="1:34" ht="15" hidden="1">
      <c r="A97" s="16"/>
      <c r="B97" s="16"/>
      <c r="C97" s="10"/>
      <c r="D97" s="16"/>
      <c r="E97" s="17"/>
      <c r="F97" s="17">
        <v>3</v>
      </c>
      <c r="G97" s="17"/>
      <c r="H97" s="42"/>
      <c r="I97" s="18"/>
      <c r="J97" s="19"/>
      <c r="K97" s="236" t="e">
        <f>#REF!</f>
        <v>#REF!</v>
      </c>
      <c r="L97" s="236"/>
      <c r="M97" s="248"/>
      <c r="N97" s="96">
        <f>N79</f>
        <v>24</v>
      </c>
      <c r="O97" s="96"/>
      <c r="P97" s="96">
        <f>P79</f>
        <v>2</v>
      </c>
      <c r="Q97" s="96">
        <f>Q79</f>
        <v>102</v>
      </c>
      <c r="R97" s="96"/>
      <c r="S97" s="96"/>
      <c r="T97" s="96"/>
      <c r="U97" s="96">
        <f>U79</f>
        <v>0</v>
      </c>
      <c r="V97" s="96">
        <f>V79</f>
        <v>460</v>
      </c>
      <c r="W97" s="96"/>
      <c r="X97" s="96" t="str">
        <f>X79</f>
        <v>Ц</v>
      </c>
      <c r="Y97" s="96" t="str">
        <f>Y79</f>
        <v>ГВС</v>
      </c>
      <c r="Z97" s="96" t="str">
        <f>Z79</f>
        <v>+</v>
      </c>
      <c r="AA97" s="96" t="str">
        <f>AA79</f>
        <v>+</v>
      </c>
      <c r="AB97" s="96" t="str">
        <f>AB79</f>
        <v>+</v>
      </c>
      <c r="AC97" s="96"/>
      <c r="AD97" s="96" t="str">
        <f>AD79</f>
        <v>ПР</v>
      </c>
      <c r="AE97" s="96" t="str">
        <f>AE79</f>
        <v>Г/ПЛ</v>
      </c>
      <c r="AF97" s="96" t="str">
        <f>AF79</f>
        <v>СКР</v>
      </c>
      <c r="AG97" s="96">
        <f>AG79</f>
        <v>350</v>
      </c>
      <c r="AH97" s="96">
        <f>AH79</f>
        <v>0</v>
      </c>
    </row>
    <row r="98" spans="1:34" ht="15" hidden="1">
      <c r="A98" s="1"/>
      <c r="B98" s="16"/>
      <c r="C98" s="59" t="s">
        <v>50</v>
      </c>
      <c r="D98" s="17"/>
      <c r="E98" s="2"/>
      <c r="F98" s="2">
        <v>4</v>
      </c>
      <c r="G98" s="2"/>
      <c r="H98" s="40"/>
      <c r="I98" s="27" t="s">
        <v>51</v>
      </c>
      <c r="J98" s="19"/>
      <c r="K98" s="237" t="e">
        <f>#REF!+#REF!+#REF!+#REF!+#REF!</f>
        <v>#REF!</v>
      </c>
      <c r="L98" s="237"/>
      <c r="M98" s="249"/>
      <c r="N98" s="98">
        <f>N66+N65+N64+N63+N55</f>
        <v>94</v>
      </c>
      <c r="O98" s="98"/>
      <c r="P98" s="98">
        <f>P66+P65+P64+P63+P55</f>
        <v>6</v>
      </c>
      <c r="Q98" s="98">
        <f>Q66+Q65+Q64+Q63+Q55</f>
        <v>549.6</v>
      </c>
      <c r="R98" s="98"/>
      <c r="S98" s="98"/>
      <c r="T98" s="98"/>
      <c r="U98" s="98">
        <f>U66+U65+U64+U63+U55</f>
        <v>675.9000000000001</v>
      </c>
      <c r="V98" s="98">
        <f>V66+V65+V64+V63+V55</f>
        <v>1148.7</v>
      </c>
      <c r="W98" s="98"/>
      <c r="X98" s="98" t="e">
        <f>X66+X65+X64+X63+X55</f>
        <v>#VALUE!</v>
      </c>
      <c r="Y98" s="98" t="e">
        <f>Y66+Y65+Y64+Y63+Y55</f>
        <v>#VALUE!</v>
      </c>
      <c r="Z98" s="98" t="e">
        <f>Z66+Z65+Z64+Z63+Z55</f>
        <v>#VALUE!</v>
      </c>
      <c r="AA98" s="98" t="e">
        <f>AA66+AA65+AA64+AA63+AA55</f>
        <v>#VALUE!</v>
      </c>
      <c r="AB98" s="98" t="e">
        <f>AB66+AB65+AB64+AB63+AB55</f>
        <v>#VALUE!</v>
      </c>
      <c r="AC98" s="98"/>
      <c r="AD98" s="98" t="e">
        <f>AD66+AD65+AD64+AD63+AD55</f>
        <v>#VALUE!</v>
      </c>
      <c r="AE98" s="98" t="e">
        <f>AE66+AE65+AE64+AE63+AE55</f>
        <v>#VALUE!</v>
      </c>
      <c r="AF98" s="98" t="e">
        <f>AF66+AF65+AF64+AF63+AF55</f>
        <v>#VALUE!</v>
      </c>
      <c r="AG98" s="98">
        <f>AG66+AG65+AG64+AG63+AG55</f>
        <v>2464</v>
      </c>
      <c r="AH98" s="98">
        <f>AH66+AH65+AH64+AH63+AH55</f>
        <v>1257</v>
      </c>
    </row>
    <row r="99" spans="1:34" ht="15" hidden="1">
      <c r="A99" s="1"/>
      <c r="B99" s="16"/>
      <c r="C99" s="60"/>
      <c r="D99" s="17"/>
      <c r="E99" s="2"/>
      <c r="F99" s="2">
        <v>5</v>
      </c>
      <c r="G99" s="2"/>
      <c r="H99" s="44"/>
      <c r="I99" s="29"/>
      <c r="J99" s="19"/>
      <c r="K99" s="237" t="e">
        <f>#REF!+SUM(#REF!)+SUM(#REF!)+SUM(#REF!)-#REF!</f>
        <v>#REF!</v>
      </c>
      <c r="L99" s="237"/>
      <c r="M99" s="249"/>
      <c r="N99" s="98">
        <f>N74+SUM(N41:N52)+SUM(N10:N13)+SUM(N15:N34)-N25</f>
        <v>2554</v>
      </c>
      <c r="O99" s="98"/>
      <c r="P99" s="98">
        <f>P74+SUM(P41:P52)+SUM(P10:P13)+SUM(P15:P34)-P25</f>
        <v>155</v>
      </c>
      <c r="Q99" s="98">
        <f>Q74+SUM(Q41:Q52)+SUM(Q10:Q13)+SUM(Q15:Q34)-Q25</f>
        <v>11892.1</v>
      </c>
      <c r="R99" s="98"/>
      <c r="S99" s="98"/>
      <c r="T99" s="98"/>
      <c r="U99" s="98">
        <f>U74+SUM(U41:U52)+SUM(U10:U13)+SUM(U15:U34)-U25</f>
        <v>5902.5</v>
      </c>
      <c r="V99" s="98">
        <f>V74+SUM(V41:V52)+SUM(V10:V13)+SUM(V15:V34)-V25</f>
        <v>20671.679999999997</v>
      </c>
      <c r="W99" s="98"/>
      <c r="X99" s="98" t="e">
        <f>X74+SUM(X41:X52)+SUM(X10:X13)+SUM(X15:X34)-X25</f>
        <v>#VALUE!</v>
      </c>
      <c r="Y99" s="98" t="e">
        <f>Y74+SUM(Y41:Y52)+SUM(Y10:Y13)+SUM(Y15:Y34)-Y25</f>
        <v>#VALUE!</v>
      </c>
      <c r="Z99" s="98" t="e">
        <f>Z74+SUM(Z41:Z52)+SUM(Z10:Z13)+SUM(Z15:Z34)-Z25</f>
        <v>#VALUE!</v>
      </c>
      <c r="AA99" s="98" t="e">
        <f>AA74+SUM(AA41:AA52)+SUM(AA10:AA13)+SUM(AA15:AA34)-AA25</f>
        <v>#VALUE!</v>
      </c>
      <c r="AB99" s="98" t="e">
        <f>AB74+SUM(AB41:AB52)+SUM(AB10:AB13)+SUM(AB15:AB34)-AB25</f>
        <v>#VALUE!</v>
      </c>
      <c r="AC99" s="98"/>
      <c r="AD99" s="98" t="e">
        <f>AD74+SUM(AD41:AD52)+SUM(AD10:AD13)+SUM(AD15:AD34)-AD25</f>
        <v>#VALUE!</v>
      </c>
      <c r="AE99" s="98" t="e">
        <f>AE74+SUM(AE41:AE52)+SUM(AE10:AE13)+SUM(AE15:AE34)-AE25</f>
        <v>#VALUE!</v>
      </c>
      <c r="AF99" s="98" t="e">
        <f>AF74+SUM(AF41:AF52)+SUM(AF10:AF13)+SUM(AF15:AF34)-AF25</f>
        <v>#VALUE!</v>
      </c>
      <c r="AG99" s="98">
        <f>AG74+SUM(AG41:AG52)+SUM(AG10:AG13)+SUM(AG15:AG34)-AG25</f>
        <v>27469</v>
      </c>
      <c r="AH99" s="98">
        <f>AH74+SUM(AH41:AH52)+SUM(AH10:AH13)+SUM(AH15:AH34)-AH25</f>
        <v>23111</v>
      </c>
    </row>
    <row r="100" spans="1:34" ht="15" hidden="1">
      <c r="A100" s="1"/>
      <c r="B100" s="12" t="s">
        <v>30</v>
      </c>
      <c r="C100" s="9" t="s">
        <v>52</v>
      </c>
      <c r="D100" s="30" t="s">
        <v>53</v>
      </c>
      <c r="E100" s="2"/>
      <c r="F100" s="2">
        <v>6</v>
      </c>
      <c r="G100" s="2"/>
      <c r="H100" s="45" t="s">
        <v>37</v>
      </c>
      <c r="I100" s="3" t="s">
        <v>52</v>
      </c>
      <c r="J100" s="31" t="s">
        <v>54</v>
      </c>
      <c r="K100" s="237" t="e">
        <f>#REF!</f>
        <v>#REF!</v>
      </c>
      <c r="L100" s="237"/>
      <c r="M100" s="249"/>
      <c r="N100" s="98">
        <f>N14</f>
        <v>36</v>
      </c>
      <c r="O100" s="98"/>
      <c r="P100" s="98">
        <f>P14</f>
        <v>2</v>
      </c>
      <c r="Q100" s="98">
        <f>Q14</f>
        <v>220.6</v>
      </c>
      <c r="R100" s="98"/>
      <c r="S100" s="98"/>
      <c r="T100" s="98"/>
      <c r="U100" s="98">
        <f>U14</f>
        <v>0</v>
      </c>
      <c r="V100" s="98">
        <f>V14</f>
        <v>317.3</v>
      </c>
      <c r="W100" s="98"/>
      <c r="X100" s="98" t="str">
        <f>X14</f>
        <v>Ц</v>
      </c>
      <c r="Y100" s="98" t="str">
        <f>Y14</f>
        <v>ГВС</v>
      </c>
      <c r="Z100" s="98" t="str">
        <f>Z14</f>
        <v>+</v>
      </c>
      <c r="AA100" s="98" t="str">
        <f>AA14</f>
        <v>+</v>
      </c>
      <c r="AB100" s="98" t="str">
        <f>AB14</f>
        <v>+</v>
      </c>
      <c r="AC100" s="98"/>
      <c r="AD100" s="98" t="str">
        <f>AD14</f>
        <v>ПР</v>
      </c>
      <c r="AE100" s="98" t="str">
        <f>AE14</f>
        <v>Г/ПЛ</v>
      </c>
      <c r="AF100" s="98" t="str">
        <f>AF14</f>
        <v>СКР</v>
      </c>
      <c r="AG100" s="98">
        <f>AG14</f>
        <v>239</v>
      </c>
      <c r="AH100" s="98">
        <f>AH14</f>
        <v>164</v>
      </c>
    </row>
    <row r="101" spans="1:34" ht="15" hidden="1">
      <c r="A101" s="1"/>
      <c r="B101" s="12"/>
      <c r="C101" s="9"/>
      <c r="D101" s="30"/>
      <c r="E101" s="2"/>
      <c r="F101" s="2">
        <v>7</v>
      </c>
      <c r="G101" s="2"/>
      <c r="H101" s="45"/>
      <c r="I101" s="3"/>
      <c r="J101" s="31"/>
      <c r="K101" s="237"/>
      <c r="L101" s="237"/>
      <c r="M101" s="249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</row>
    <row r="102" spans="1:34" ht="15" hidden="1">
      <c r="A102" s="1"/>
      <c r="B102" s="12"/>
      <c r="C102" s="9"/>
      <c r="D102" s="30"/>
      <c r="E102" s="2"/>
      <c r="F102" s="2">
        <v>8</v>
      </c>
      <c r="G102" s="2"/>
      <c r="H102" s="45"/>
      <c r="I102" s="3"/>
      <c r="J102" s="31"/>
      <c r="K102" s="237"/>
      <c r="L102" s="237"/>
      <c r="M102" s="249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</row>
    <row r="103" spans="1:34" ht="15" hidden="1">
      <c r="A103" s="6"/>
      <c r="B103" s="12" t="s">
        <v>57</v>
      </c>
      <c r="C103" s="9" t="s">
        <v>52</v>
      </c>
      <c r="D103" s="30" t="s">
        <v>58</v>
      </c>
      <c r="E103" s="22"/>
      <c r="F103" s="90">
        <v>9</v>
      </c>
      <c r="G103" s="90"/>
      <c r="H103" s="88" t="s">
        <v>31</v>
      </c>
      <c r="I103" s="89" t="s">
        <v>52</v>
      </c>
      <c r="J103" s="91" t="s">
        <v>59</v>
      </c>
      <c r="K103" s="237" t="e">
        <f>#REF!</f>
        <v>#REF!</v>
      </c>
      <c r="L103" s="237"/>
      <c r="M103" s="249"/>
      <c r="N103" s="98">
        <f>N73</f>
        <v>121</v>
      </c>
      <c r="O103" s="98"/>
      <c r="P103" s="98">
        <f>P73</f>
        <v>4</v>
      </c>
      <c r="Q103" s="98">
        <f>Q73</f>
        <v>1275.6</v>
      </c>
      <c r="R103" s="98"/>
      <c r="S103" s="98"/>
      <c r="T103" s="98"/>
      <c r="U103" s="98">
        <f>U73</f>
        <v>0</v>
      </c>
      <c r="V103" s="98">
        <f>V73</f>
        <v>1218.9</v>
      </c>
      <c r="W103" s="98"/>
      <c r="X103" s="98" t="str">
        <f>X73</f>
        <v>Ц</v>
      </c>
      <c r="Y103" s="98" t="str">
        <f>Y73</f>
        <v>ГВС</v>
      </c>
      <c r="Z103" s="98" t="str">
        <f>Z73</f>
        <v>+</v>
      </c>
      <c r="AA103" s="98" t="str">
        <f>AA73</f>
        <v>+</v>
      </c>
      <c r="AB103" s="98" t="str">
        <f>AB73</f>
        <v>+</v>
      </c>
      <c r="AC103" s="98"/>
      <c r="AD103" s="98" t="str">
        <f>AD73</f>
        <v>ПР</v>
      </c>
      <c r="AE103" s="98" t="str">
        <f>AE73</f>
        <v>Г/ПЛ</v>
      </c>
      <c r="AF103" s="98" t="str">
        <f>AF73</f>
        <v>СКР</v>
      </c>
      <c r="AG103" s="98">
        <f>AG73</f>
        <v>1902</v>
      </c>
      <c r="AH103" s="98">
        <f>AH73</f>
        <v>704</v>
      </c>
    </row>
    <row r="104" spans="1:34" ht="15" hidden="1">
      <c r="A104" s="33"/>
      <c r="B104" s="32" t="s">
        <v>62</v>
      </c>
      <c r="C104" s="9" t="s">
        <v>52</v>
      </c>
      <c r="D104" s="1" t="s">
        <v>63</v>
      </c>
      <c r="E104" s="34"/>
      <c r="F104" s="34"/>
      <c r="G104" s="34"/>
      <c r="H104" s="43" t="s">
        <v>57</v>
      </c>
      <c r="I104" s="18" t="s">
        <v>52</v>
      </c>
      <c r="J104" s="31" t="s">
        <v>64</v>
      </c>
      <c r="K104" s="238"/>
      <c r="L104" s="238"/>
      <c r="M104" s="250"/>
      <c r="N104" s="100"/>
      <c r="O104" s="101"/>
      <c r="P104" s="101"/>
      <c r="Q104" s="101"/>
      <c r="R104" s="101"/>
      <c r="S104" s="101"/>
      <c r="T104" s="101"/>
      <c r="U104" s="100"/>
      <c r="V104" s="100"/>
      <c r="W104" s="100"/>
      <c r="X104" s="101"/>
      <c r="Y104" s="101"/>
      <c r="Z104" s="101"/>
      <c r="AA104" s="101"/>
      <c r="AB104" s="101"/>
      <c r="AC104" s="101"/>
      <c r="AD104" s="102"/>
      <c r="AE104" s="99"/>
      <c r="AF104" s="106"/>
      <c r="AG104" s="94"/>
      <c r="AH104" s="94"/>
    </row>
    <row r="105" spans="1:34" ht="15" hidden="1">
      <c r="A105" s="16"/>
      <c r="B105" s="12" t="s">
        <v>65</v>
      </c>
      <c r="C105" s="9" t="s">
        <v>52</v>
      </c>
      <c r="D105" s="30" t="s">
        <v>66</v>
      </c>
      <c r="E105" s="17"/>
      <c r="F105" s="17" t="s">
        <v>82</v>
      </c>
      <c r="G105" s="17"/>
      <c r="H105" s="42"/>
      <c r="I105" s="18"/>
      <c r="J105" s="19"/>
      <c r="K105" s="239" t="e">
        <f>SUM(K95:K104)</f>
        <v>#REF!</v>
      </c>
      <c r="L105" s="239"/>
      <c r="M105" s="251"/>
      <c r="N105" s="103">
        <f>SUM(N95:N104)</f>
        <v>3213</v>
      </c>
      <c r="O105" s="103"/>
      <c r="P105" s="103">
        <f>SUM(P95:P104)</f>
        <v>235</v>
      </c>
      <c r="Q105" s="103">
        <f>SUM(Q95:Q104)</f>
        <v>15443.600000000002</v>
      </c>
      <c r="R105" s="103"/>
      <c r="S105" s="103"/>
      <c r="T105" s="103"/>
      <c r="U105" s="103">
        <f>SUM(U95:U104)</f>
        <v>8910</v>
      </c>
      <c r="V105" s="103">
        <f>SUM(V95:V104)</f>
        <v>29723.979999999996</v>
      </c>
      <c r="W105" s="103"/>
      <c r="X105" s="103" t="e">
        <f>SUM(X95:X104)</f>
        <v>#VALUE!</v>
      </c>
      <c r="Y105" s="103" t="e">
        <f>SUM(Y95:Y104)</f>
        <v>#VALUE!</v>
      </c>
      <c r="Z105" s="103" t="e">
        <f>SUM(Z95:Z104)</f>
        <v>#VALUE!</v>
      </c>
      <c r="AA105" s="103" t="e">
        <f>SUM(AA95:AA104)</f>
        <v>#VALUE!</v>
      </c>
      <c r="AB105" s="103" t="e">
        <f>SUM(AB95:AB104)</f>
        <v>#VALUE!</v>
      </c>
      <c r="AC105" s="103"/>
      <c r="AD105" s="103" t="e">
        <f>SUM(AD95:AD104)</f>
        <v>#VALUE!</v>
      </c>
      <c r="AE105" s="103" t="e">
        <f>SUM(AE95:AE104)</f>
        <v>#VALUE!</v>
      </c>
      <c r="AF105" s="103" t="e">
        <f>SUM(AF95:AF104)</f>
        <v>#VALUE!</v>
      </c>
      <c r="AG105" s="103">
        <f>SUM(AG95:AG104)</f>
        <v>39830</v>
      </c>
      <c r="AH105" s="103">
        <f>SUM(AH95:AH104)</f>
        <v>29460</v>
      </c>
    </row>
    <row r="106" spans="1:34" ht="15" hidden="1">
      <c r="A106" s="16"/>
      <c r="B106" s="12"/>
      <c r="C106" s="9"/>
      <c r="D106" s="30"/>
      <c r="E106" s="17"/>
      <c r="F106" s="17"/>
      <c r="G106" s="17"/>
      <c r="H106" s="42"/>
      <c r="I106" s="18"/>
      <c r="J106" s="19"/>
      <c r="K106" s="240"/>
      <c r="L106" s="240"/>
      <c r="M106" s="25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</row>
    <row r="107" spans="1:34" ht="15" hidden="1">
      <c r="A107" s="16"/>
      <c r="B107" s="12"/>
      <c r="C107" s="9"/>
      <c r="D107" s="30"/>
      <c r="E107" s="17"/>
      <c r="F107" s="17"/>
      <c r="G107" s="17"/>
      <c r="H107" s="42"/>
      <c r="I107" s="18"/>
      <c r="J107" s="19"/>
      <c r="K107" s="240" t="s">
        <v>81</v>
      </c>
      <c r="L107" s="240"/>
      <c r="M107" s="25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</row>
    <row r="108" spans="1:34" ht="15" hidden="1">
      <c r="A108" s="16"/>
      <c r="B108" s="12"/>
      <c r="C108" s="9"/>
      <c r="D108" s="30"/>
      <c r="E108" s="17"/>
      <c r="F108" s="17">
        <v>2</v>
      </c>
      <c r="G108" s="17"/>
      <c r="H108" s="42"/>
      <c r="I108" s="18"/>
      <c r="J108" s="19"/>
      <c r="K108" s="240" t="e">
        <f>#REF!</f>
        <v>#REF!</v>
      </c>
      <c r="L108" s="240"/>
      <c r="M108" s="252"/>
      <c r="N108" s="92">
        <f>N76</f>
        <v>32</v>
      </c>
      <c r="O108" s="92"/>
      <c r="P108" s="92">
        <f>P76</f>
        <v>2</v>
      </c>
      <c r="Q108" s="92">
        <f>Q76</f>
        <v>221.6</v>
      </c>
      <c r="R108" s="92"/>
      <c r="S108" s="92"/>
      <c r="T108" s="92"/>
      <c r="U108" s="92">
        <f>U76</f>
        <v>0</v>
      </c>
      <c r="V108" s="92">
        <f>V76</f>
        <v>530.447</v>
      </c>
      <c r="W108" s="92"/>
      <c r="X108" s="92" t="str">
        <f>X76</f>
        <v>Ц</v>
      </c>
      <c r="Y108" s="92" t="str">
        <f>Y76</f>
        <v>ГВС</v>
      </c>
      <c r="Z108" s="92" t="str">
        <f>Z76</f>
        <v>+</v>
      </c>
      <c r="AA108" s="92" t="str">
        <f>AA76</f>
        <v>+</v>
      </c>
      <c r="AB108" s="92" t="str">
        <f>AB76</f>
        <v>+</v>
      </c>
      <c r="AC108" s="92"/>
      <c r="AD108" s="92" t="str">
        <f>AD76</f>
        <v>-</v>
      </c>
      <c r="AE108" s="92" t="str">
        <f>AE76</f>
        <v>Г/Б</v>
      </c>
      <c r="AF108" s="92" t="str">
        <f>AF76</f>
        <v>СКР</v>
      </c>
      <c r="AG108" s="92">
        <f>AG76</f>
        <v>300</v>
      </c>
      <c r="AH108" s="92">
        <f>AH76</f>
        <v>0</v>
      </c>
    </row>
    <row r="109" spans="1:34" ht="15" hidden="1">
      <c r="A109" s="16"/>
      <c r="B109" s="12"/>
      <c r="C109" s="9"/>
      <c r="D109" s="30"/>
      <c r="E109" s="17"/>
      <c r="F109" s="17">
        <v>3</v>
      </c>
      <c r="G109" s="17"/>
      <c r="H109" s="42"/>
      <c r="I109" s="18"/>
      <c r="J109" s="19"/>
      <c r="K109" s="240"/>
      <c r="L109" s="240"/>
      <c r="M109" s="25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</row>
    <row r="110" spans="1:34" ht="15" hidden="1">
      <c r="A110" s="16"/>
      <c r="B110" s="12"/>
      <c r="C110" s="9"/>
      <c r="D110" s="30"/>
      <c r="E110" s="17"/>
      <c r="F110" s="17">
        <v>4</v>
      </c>
      <c r="G110" s="17"/>
      <c r="H110" s="42"/>
      <c r="I110" s="18"/>
      <c r="J110" s="19"/>
      <c r="K110" s="240"/>
      <c r="L110" s="240"/>
      <c r="M110" s="25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</row>
    <row r="111" spans="1:34" ht="15" hidden="1">
      <c r="A111" s="16"/>
      <c r="B111" s="12"/>
      <c r="C111" s="9"/>
      <c r="D111" s="30"/>
      <c r="E111" s="17"/>
      <c r="F111" s="17">
        <v>5</v>
      </c>
      <c r="G111" s="17"/>
      <c r="H111" s="42"/>
      <c r="I111" s="18"/>
      <c r="J111" s="19"/>
      <c r="K111" s="240" t="e">
        <f>#REF!</f>
        <v>#REF!</v>
      </c>
      <c r="L111" s="240"/>
      <c r="M111" s="252"/>
      <c r="N111" s="92">
        <f>N25</f>
        <v>84</v>
      </c>
      <c r="O111" s="92"/>
      <c r="P111" s="92">
        <f>P25</f>
        <v>1</v>
      </c>
      <c r="Q111" s="92">
        <f>Q25</f>
        <v>878.2</v>
      </c>
      <c r="R111" s="92"/>
      <c r="S111" s="92"/>
      <c r="T111" s="92"/>
      <c r="U111" s="92">
        <f>U25</f>
        <v>0</v>
      </c>
      <c r="V111" s="92">
        <f>V25</f>
        <v>507.4</v>
      </c>
      <c r="W111" s="92"/>
      <c r="X111" s="92" t="str">
        <f>X25</f>
        <v>Ц</v>
      </c>
      <c r="Y111" s="92" t="str">
        <f>Y25</f>
        <v>ГВС</v>
      </c>
      <c r="Z111" s="92" t="str">
        <f>Z25</f>
        <v>+</v>
      </c>
      <c r="AA111" s="92" t="str">
        <f>AA25</f>
        <v>+</v>
      </c>
      <c r="AB111" s="92" t="str">
        <f>AB25</f>
        <v>+</v>
      </c>
      <c r="AC111" s="92"/>
      <c r="AD111" s="92" t="str">
        <f>AD25</f>
        <v>ПР</v>
      </c>
      <c r="AE111" s="92" t="str">
        <f>AE25</f>
        <v>Г/ПЛ</v>
      </c>
      <c r="AF111" s="92" t="str">
        <f>AF25</f>
        <v>СКР</v>
      </c>
      <c r="AG111" s="92">
        <f>AG25</f>
        <v>513</v>
      </c>
      <c r="AH111" s="92">
        <f>AH25</f>
        <v>1052</v>
      </c>
    </row>
    <row r="112" spans="1:34" ht="15" hidden="1">
      <c r="A112" s="16"/>
      <c r="B112" s="12"/>
      <c r="C112" s="9"/>
      <c r="D112" s="30"/>
      <c r="E112" s="17"/>
      <c r="F112" s="17"/>
      <c r="G112" s="17"/>
      <c r="H112" s="42"/>
      <c r="I112" s="18"/>
      <c r="J112" s="19"/>
      <c r="K112" s="240"/>
      <c r="L112" s="240"/>
      <c r="M112" s="25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</row>
    <row r="113" spans="1:34" ht="15" hidden="1">
      <c r="A113" s="16"/>
      <c r="B113" s="16"/>
      <c r="C113" s="10"/>
      <c r="D113" s="17"/>
      <c r="E113" s="17"/>
      <c r="F113" s="17" t="s">
        <v>82</v>
      </c>
      <c r="G113" s="17"/>
      <c r="H113" s="42"/>
      <c r="I113" s="18"/>
      <c r="J113" s="19"/>
      <c r="K113" s="241" t="e">
        <f>SUM(K108:K111)</f>
        <v>#REF!</v>
      </c>
      <c r="L113" s="241"/>
      <c r="M113" s="42"/>
      <c r="N113" s="104">
        <f>SUM(N108:N111)</f>
        <v>116</v>
      </c>
      <c r="O113" s="104"/>
      <c r="P113" s="104">
        <f>SUM(P108:P111)</f>
        <v>3</v>
      </c>
      <c r="Q113" s="104">
        <f>SUM(Q108:Q111)</f>
        <v>1099.8</v>
      </c>
      <c r="R113" s="104"/>
      <c r="S113" s="104"/>
      <c r="T113" s="104"/>
      <c r="U113" s="104">
        <f>SUM(U108:U111)</f>
        <v>0</v>
      </c>
      <c r="V113" s="104">
        <f>SUM(V108:V111)</f>
        <v>1037.847</v>
      </c>
      <c r="W113" s="104"/>
      <c r="X113" s="104">
        <f>SUM(X108:X111)</f>
        <v>0</v>
      </c>
      <c r="Y113" s="104">
        <f>SUM(Y108:Y111)</f>
        <v>0</v>
      </c>
      <c r="Z113" s="104">
        <f>SUM(Z108:Z111)</f>
        <v>0</v>
      </c>
      <c r="AA113" s="104">
        <f>SUM(AA108:AA111)</f>
        <v>0</v>
      </c>
      <c r="AB113" s="104">
        <f>SUM(AB108:AB111)</f>
        <v>0</v>
      </c>
      <c r="AC113" s="104"/>
      <c r="AD113" s="104">
        <f>SUM(AD108:AD111)</f>
        <v>0</v>
      </c>
      <c r="AE113" s="104">
        <f>SUM(AE108:AE111)</f>
        <v>0</v>
      </c>
      <c r="AF113" s="104">
        <f>SUM(AF108:AF111)</f>
        <v>0</v>
      </c>
      <c r="AG113" s="104">
        <f>SUM(AG108:AG111)</f>
        <v>813</v>
      </c>
      <c r="AH113" s="104">
        <f>SUM(AH108:AH111)</f>
        <v>1052</v>
      </c>
    </row>
    <row r="114" spans="1:32" ht="15" hidden="1">
      <c r="A114" s="16"/>
      <c r="B114" s="16"/>
      <c r="C114" s="10"/>
      <c r="D114" s="17"/>
      <c r="E114" s="17"/>
      <c r="F114" s="17"/>
      <c r="G114" s="17"/>
      <c r="H114" s="42"/>
      <c r="I114" s="18"/>
      <c r="J114" s="19"/>
      <c r="K114" s="242"/>
      <c r="L114" s="242"/>
      <c r="M114" s="42"/>
      <c r="N114" s="51"/>
      <c r="O114" s="28"/>
      <c r="P114" s="17"/>
      <c r="Q114" s="17"/>
      <c r="R114" s="17"/>
      <c r="S114" s="17"/>
      <c r="T114" s="17"/>
      <c r="U114" s="9"/>
      <c r="V114" s="9"/>
      <c r="W114" s="9"/>
      <c r="X114" s="17"/>
      <c r="Y114" s="17"/>
      <c r="Z114" s="17"/>
      <c r="AA114" s="17"/>
      <c r="AB114" s="17"/>
      <c r="AC114" s="17"/>
      <c r="AD114" s="16"/>
      <c r="AE114" s="1"/>
      <c r="AF114" s="2"/>
    </row>
    <row r="115" spans="1:32" ht="15" hidden="1">
      <c r="A115" s="16"/>
      <c r="B115" s="11"/>
      <c r="C115" s="10"/>
      <c r="D115" s="17"/>
      <c r="E115" s="17"/>
      <c r="F115" s="17"/>
      <c r="G115" s="17"/>
      <c r="H115" s="42"/>
      <c r="I115" s="18"/>
      <c r="J115" s="19"/>
      <c r="K115" s="242" t="e">
        <f>K113+K105</f>
        <v>#REF!</v>
      </c>
      <c r="L115" s="242"/>
      <c r="M115" s="42"/>
      <c r="N115" s="51"/>
      <c r="O115" s="28"/>
      <c r="P115" s="17"/>
      <c r="Q115" s="17"/>
      <c r="R115" s="17"/>
      <c r="S115" s="17"/>
      <c r="T115" s="17"/>
      <c r="U115" s="9"/>
      <c r="V115" s="9"/>
      <c r="W115" s="9"/>
      <c r="X115" s="17"/>
      <c r="Y115" s="17"/>
      <c r="Z115" s="17"/>
      <c r="AA115" s="17"/>
      <c r="AB115" s="17"/>
      <c r="AC115" s="17"/>
      <c r="AD115" s="16"/>
      <c r="AE115" s="1"/>
      <c r="AF115" s="2"/>
    </row>
    <row r="116" spans="1:32" ht="15" hidden="1">
      <c r="A116" s="35"/>
      <c r="B116" s="35"/>
      <c r="C116" s="61"/>
      <c r="D116" s="26"/>
      <c r="E116" s="36" t="s">
        <v>12</v>
      </c>
      <c r="F116" s="26"/>
      <c r="G116" s="26"/>
      <c r="H116" s="46"/>
      <c r="I116" s="37"/>
      <c r="J116" s="38"/>
      <c r="K116" s="243"/>
      <c r="L116" s="243"/>
      <c r="M116" s="46"/>
      <c r="N116" s="55"/>
      <c r="O116" s="36"/>
      <c r="P116" s="39"/>
      <c r="Q116" s="26"/>
      <c r="R116" s="26"/>
      <c r="S116" s="26"/>
      <c r="T116" s="26"/>
      <c r="U116" s="59"/>
      <c r="V116" s="59"/>
      <c r="W116" s="59"/>
      <c r="X116" s="26"/>
      <c r="Y116" s="26"/>
      <c r="Z116" s="26"/>
      <c r="AA116" s="26"/>
      <c r="AB116" s="26"/>
      <c r="AC116" s="26"/>
      <c r="AD116" s="35"/>
      <c r="AE116" s="33"/>
      <c r="AF116" s="107"/>
    </row>
    <row r="117" spans="1:32" ht="15">
      <c r="A117" s="35"/>
      <c r="B117" s="35"/>
      <c r="C117" s="61"/>
      <c r="D117" s="26"/>
      <c r="E117" s="36"/>
      <c r="F117" s="26"/>
      <c r="G117" s="26"/>
      <c r="H117" s="46"/>
      <c r="I117" s="37"/>
      <c r="J117" s="38"/>
      <c r="K117" s="243">
        <f>K14+K15+K18+K24+K28+K29+SUM(K37:K43)+SUM(K45:K49)+K53+K54+K57+K59+K60+K61+K63+K64+K65+K70+K72+K72+K76+K77</f>
        <v>55292.03</v>
      </c>
      <c r="L117" s="243"/>
      <c r="M117" s="46"/>
      <c r="N117" s="55"/>
      <c r="O117" s="36"/>
      <c r="P117" s="39"/>
      <c r="Q117" s="26"/>
      <c r="R117" s="26"/>
      <c r="S117" s="26"/>
      <c r="T117" s="26"/>
      <c r="U117" s="59"/>
      <c r="V117" s="59"/>
      <c r="W117" s="59"/>
      <c r="X117" s="26"/>
      <c r="Y117" s="26"/>
      <c r="Z117" s="26"/>
      <c r="AA117" s="26"/>
      <c r="AB117" s="26"/>
      <c r="AC117" s="26"/>
      <c r="AD117" s="35"/>
      <c r="AE117" s="33"/>
      <c r="AF117" s="107"/>
    </row>
    <row r="118" spans="1:38" s="358" customFormat="1" ht="15">
      <c r="A118" s="48"/>
      <c r="B118" s="58"/>
      <c r="C118" s="58"/>
      <c r="D118" s="58"/>
      <c r="E118" s="53"/>
      <c r="F118" s="57"/>
      <c r="G118" s="57"/>
      <c r="H118" s="43"/>
      <c r="I118" s="69"/>
      <c r="J118" s="70" t="s">
        <v>49</v>
      </c>
      <c r="K118" s="43"/>
      <c r="L118" s="43"/>
      <c r="M118" s="43"/>
      <c r="N118" s="52"/>
      <c r="O118" s="52"/>
      <c r="P118" s="57"/>
      <c r="Q118" s="57"/>
      <c r="R118" s="57"/>
      <c r="S118" s="57"/>
      <c r="T118" s="57"/>
      <c r="U118" s="57"/>
      <c r="V118" s="57"/>
      <c r="W118" s="57"/>
      <c r="X118" s="57"/>
      <c r="Y118" s="375"/>
      <c r="Z118" s="57"/>
      <c r="AA118" s="57"/>
      <c r="AB118" s="57"/>
      <c r="AC118" s="58"/>
      <c r="AD118" s="53"/>
      <c r="AE118" s="53"/>
      <c r="AF118" s="370"/>
      <c r="AI118" s="8"/>
      <c r="AJ118" s="8"/>
      <c r="AK118" s="8"/>
      <c r="AL118" s="8"/>
    </row>
    <row r="119" spans="1:38" s="358" customFormat="1" ht="15">
      <c r="A119" s="8"/>
      <c r="B119" s="10"/>
      <c r="C119" s="59" t="s">
        <v>50</v>
      </c>
      <c r="D119" s="9"/>
      <c r="E119" s="62"/>
      <c r="F119" s="62"/>
      <c r="G119" s="62"/>
      <c r="H119" s="40"/>
      <c r="I119" s="72" t="s">
        <v>51</v>
      </c>
      <c r="J119" s="68"/>
      <c r="K119" s="40"/>
      <c r="L119" s="40"/>
      <c r="M119" s="40"/>
      <c r="N119" s="49"/>
      <c r="O119" s="73"/>
      <c r="P119" s="49"/>
      <c r="Q119" s="371"/>
      <c r="U119" s="727" t="s">
        <v>11</v>
      </c>
      <c r="V119" s="727"/>
      <c r="W119" s="233"/>
      <c r="X119" s="62"/>
      <c r="Y119" s="9"/>
      <c r="Z119" s="9"/>
      <c r="AB119" s="59"/>
      <c r="AC119" s="728" t="s">
        <v>12</v>
      </c>
      <c r="AD119" s="728"/>
      <c r="AE119" s="728"/>
      <c r="AF119" s="728"/>
      <c r="AI119" s="8"/>
      <c r="AJ119" s="8"/>
      <c r="AK119" s="8"/>
      <c r="AL119" s="8"/>
    </row>
    <row r="120" spans="1:38" s="358" customFormat="1" ht="15">
      <c r="A120" s="8"/>
      <c r="B120" s="10"/>
      <c r="C120" s="60"/>
      <c r="D120" s="9"/>
      <c r="E120" s="62"/>
      <c r="F120" s="62"/>
      <c r="G120" s="62"/>
      <c r="H120" s="44"/>
      <c r="I120" s="74"/>
      <c r="J120" s="68"/>
      <c r="K120" s="40"/>
      <c r="L120" s="40"/>
      <c r="M120" s="40"/>
      <c r="N120" s="49"/>
      <c r="O120" s="73"/>
      <c r="P120" s="49"/>
      <c r="Q120" s="51"/>
      <c r="R120" s="51"/>
      <c r="S120" s="51"/>
      <c r="T120" s="51"/>
      <c r="U120" s="51"/>
      <c r="V120" s="51"/>
      <c r="W120" s="51"/>
      <c r="X120" s="51"/>
      <c r="Y120" s="9"/>
      <c r="Z120" s="9"/>
      <c r="AA120" s="57"/>
      <c r="AB120" s="57"/>
      <c r="AC120" s="57"/>
      <c r="AD120" s="57"/>
      <c r="AE120" s="43"/>
      <c r="AF120" s="370"/>
      <c r="AI120" s="8"/>
      <c r="AJ120" s="8"/>
      <c r="AK120" s="8"/>
      <c r="AL120" s="8"/>
    </row>
    <row r="121" spans="1:38" s="358" customFormat="1" ht="15">
      <c r="A121" s="8"/>
      <c r="B121" s="50" t="s">
        <v>30</v>
      </c>
      <c r="C121" s="9" t="s">
        <v>52</v>
      </c>
      <c r="D121" s="75" t="s">
        <v>53</v>
      </c>
      <c r="E121" s="62"/>
      <c r="F121" s="62"/>
      <c r="G121" s="62"/>
      <c r="H121" s="45" t="s">
        <v>37</v>
      </c>
      <c r="I121" s="63" t="s">
        <v>52</v>
      </c>
      <c r="J121" s="76" t="s">
        <v>54</v>
      </c>
      <c r="K121" s="40"/>
      <c r="L121" s="40"/>
      <c r="M121" s="40"/>
      <c r="N121" s="49"/>
      <c r="O121" s="73"/>
      <c r="U121" s="77" t="s">
        <v>55</v>
      </c>
      <c r="V121" s="51" t="s">
        <v>52</v>
      </c>
      <c r="W121" s="78" t="s">
        <v>56</v>
      </c>
      <c r="Y121" s="9"/>
      <c r="Z121" s="9"/>
      <c r="AB121" s="726" t="s">
        <v>34</v>
      </c>
      <c r="AC121" s="726"/>
      <c r="AD121" s="9" t="s">
        <v>52</v>
      </c>
      <c r="AE121" s="75" t="s">
        <v>89</v>
      </c>
      <c r="AF121" s="370"/>
      <c r="AI121" s="8"/>
      <c r="AJ121" s="8"/>
      <c r="AK121" s="8"/>
      <c r="AL121" s="8"/>
    </row>
    <row r="122" spans="1:38" s="358" customFormat="1" ht="15">
      <c r="A122" s="7"/>
      <c r="B122" s="50" t="s">
        <v>85</v>
      </c>
      <c r="C122" s="9" t="s">
        <v>52</v>
      </c>
      <c r="D122" s="75" t="s">
        <v>86</v>
      </c>
      <c r="E122" s="53"/>
      <c r="F122" s="53"/>
      <c r="G122" s="53"/>
      <c r="H122" s="41" t="s">
        <v>31</v>
      </c>
      <c r="I122" s="67" t="s">
        <v>52</v>
      </c>
      <c r="J122" s="76" t="s">
        <v>59</v>
      </c>
      <c r="K122" s="244"/>
      <c r="L122" s="244"/>
      <c r="M122" s="244"/>
      <c r="N122" s="53"/>
      <c r="O122" s="56"/>
      <c r="U122" s="80" t="s">
        <v>60</v>
      </c>
      <c r="V122" s="9" t="s">
        <v>52</v>
      </c>
      <c r="W122" s="75" t="s">
        <v>61</v>
      </c>
      <c r="Y122" s="57"/>
      <c r="Z122" s="57"/>
      <c r="AC122" s="86" t="s">
        <v>84</v>
      </c>
      <c r="AD122" s="9" t="s">
        <v>52</v>
      </c>
      <c r="AE122" s="75" t="s">
        <v>90</v>
      </c>
      <c r="AF122" s="370"/>
      <c r="AI122" s="8"/>
      <c r="AJ122" s="8"/>
      <c r="AK122" s="8"/>
      <c r="AL122" s="8"/>
    </row>
    <row r="123" spans="1:38" s="358" customFormat="1" ht="15">
      <c r="A123" s="55"/>
      <c r="B123" s="80"/>
      <c r="C123" s="9"/>
      <c r="D123" s="8"/>
      <c r="E123" s="81"/>
      <c r="F123" s="81"/>
      <c r="G123" s="81"/>
      <c r="H123" s="41" t="s">
        <v>107</v>
      </c>
      <c r="I123" s="67" t="s">
        <v>52</v>
      </c>
      <c r="J123" s="76" t="s">
        <v>108</v>
      </c>
      <c r="K123" s="245"/>
      <c r="L123" s="245"/>
      <c r="M123" s="245"/>
      <c r="N123" s="54"/>
      <c r="O123" s="83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6"/>
      <c r="AB123" s="9"/>
      <c r="AC123" s="75"/>
      <c r="AD123" s="9"/>
      <c r="AE123" s="42"/>
      <c r="AF123" s="370"/>
      <c r="AI123" s="8"/>
      <c r="AJ123" s="8"/>
      <c r="AK123" s="8"/>
      <c r="AL123" s="8"/>
    </row>
    <row r="124" spans="1:38" s="358" customFormat="1" ht="15">
      <c r="A124" s="10"/>
      <c r="B124" s="50"/>
      <c r="C124" s="9"/>
      <c r="D124" s="75"/>
      <c r="E124" s="9"/>
      <c r="F124" s="9"/>
      <c r="G124" s="9"/>
      <c r="H124" s="42"/>
      <c r="I124" s="67"/>
      <c r="J124" s="68"/>
      <c r="K124" s="42"/>
      <c r="L124" s="42"/>
      <c r="M124" s="42"/>
      <c r="N124" s="51"/>
      <c r="O124" s="73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10"/>
      <c r="AD124" s="8"/>
      <c r="AE124" s="8"/>
      <c r="AF124" s="370"/>
      <c r="AI124" s="8"/>
      <c r="AJ124" s="8"/>
      <c r="AK124" s="8"/>
      <c r="AL124" s="8"/>
    </row>
    <row r="125" spans="1:38" s="358" customFormat="1" ht="15">
      <c r="A125" s="10"/>
      <c r="B125" s="48"/>
      <c r="C125" s="10"/>
      <c r="D125" s="9"/>
      <c r="E125" s="9"/>
      <c r="F125" s="9"/>
      <c r="G125" s="9"/>
      <c r="H125" s="42"/>
      <c r="I125" s="67"/>
      <c r="J125" s="68"/>
      <c r="K125" s="42"/>
      <c r="L125" s="42"/>
      <c r="M125" s="42"/>
      <c r="N125" s="51"/>
      <c r="O125" s="73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10"/>
      <c r="AD125" s="8"/>
      <c r="AE125" s="8"/>
      <c r="AF125" s="370"/>
      <c r="AI125" s="8"/>
      <c r="AJ125" s="8"/>
      <c r="AK125" s="8"/>
      <c r="AL125" s="8"/>
    </row>
    <row r="126" spans="1:38" s="358" customFormat="1" ht="15">
      <c r="A126" s="9"/>
      <c r="B126" s="10"/>
      <c r="C126" s="10"/>
      <c r="D126" s="75" t="s">
        <v>75</v>
      </c>
      <c r="E126" s="9"/>
      <c r="F126" s="9"/>
      <c r="G126" s="9"/>
      <c r="H126" s="42"/>
      <c r="I126" s="68"/>
      <c r="K126" s="42"/>
      <c r="L126" s="42"/>
      <c r="M126" s="42"/>
      <c r="N126" s="51"/>
      <c r="O126" s="73"/>
      <c r="P126" s="9"/>
      <c r="Q126" s="9" t="s">
        <v>78</v>
      </c>
      <c r="R126" s="9"/>
      <c r="S126" s="9"/>
      <c r="T126" s="9"/>
      <c r="U126" s="9"/>
      <c r="V126" s="9"/>
      <c r="W126" s="9"/>
      <c r="AC126" s="10"/>
      <c r="AD126" s="8"/>
      <c r="AE126" s="8"/>
      <c r="AF126" s="370"/>
      <c r="AI126" s="8"/>
      <c r="AJ126" s="8"/>
      <c r="AK126" s="8"/>
      <c r="AL126" s="8"/>
    </row>
    <row r="127" spans="1:38" s="358" customFormat="1" ht="15">
      <c r="A127" s="48"/>
      <c r="B127" s="58"/>
      <c r="C127" s="58"/>
      <c r="D127" s="87"/>
      <c r="E127" s="57"/>
      <c r="F127" s="57"/>
      <c r="G127" s="57"/>
      <c r="H127" s="43"/>
      <c r="I127" s="71"/>
      <c r="K127" s="43"/>
      <c r="L127" s="43"/>
      <c r="M127" s="43"/>
      <c r="N127" s="56"/>
      <c r="O127" s="56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8"/>
      <c r="AD127" s="53"/>
      <c r="AE127" s="53"/>
      <c r="AF127" s="370"/>
      <c r="AI127" s="8"/>
      <c r="AJ127" s="8"/>
      <c r="AK127" s="8"/>
      <c r="AL127" s="8"/>
    </row>
    <row r="128" spans="1:38" s="358" customFormat="1" ht="15">
      <c r="A128" s="10"/>
      <c r="B128" s="10"/>
      <c r="C128" s="10"/>
      <c r="D128" s="75" t="s">
        <v>112</v>
      </c>
      <c r="E128" s="9"/>
      <c r="F128" s="9"/>
      <c r="G128" s="9"/>
      <c r="H128" s="42"/>
      <c r="K128" s="42"/>
      <c r="L128" s="42"/>
      <c r="M128" s="42"/>
      <c r="N128" s="9"/>
      <c r="O128" s="73"/>
      <c r="P128" s="9"/>
      <c r="Q128" s="358" t="s">
        <v>80</v>
      </c>
      <c r="U128" s="9"/>
      <c r="V128" s="9"/>
      <c r="W128" s="9"/>
      <c r="X128" s="9"/>
      <c r="Y128" s="9"/>
      <c r="Z128" s="9"/>
      <c r="AA128" s="9"/>
      <c r="AB128" s="9"/>
      <c r="AC128" s="10"/>
      <c r="AD128" s="8"/>
      <c r="AE128" s="8"/>
      <c r="AF128" s="370"/>
      <c r="AI128" s="8"/>
      <c r="AJ128" s="8"/>
      <c r="AK128" s="8"/>
      <c r="AL128" s="8"/>
    </row>
    <row r="129" spans="1:38" s="358" customFormat="1" ht="15">
      <c r="A129" s="10"/>
      <c r="B129" s="10"/>
      <c r="C129" s="10"/>
      <c r="D129" s="75"/>
      <c r="E129" s="9"/>
      <c r="F129" s="9"/>
      <c r="G129" s="9"/>
      <c r="H129" s="42"/>
      <c r="I129" s="68"/>
      <c r="K129" s="42"/>
      <c r="L129" s="42"/>
      <c r="M129" s="42"/>
      <c r="N129" s="9"/>
      <c r="O129" s="73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10"/>
      <c r="AD129" s="8"/>
      <c r="AE129" s="8"/>
      <c r="AF129" s="370"/>
      <c r="AI129" s="8"/>
      <c r="AJ129" s="8"/>
      <c r="AK129" s="8"/>
      <c r="AL129" s="8"/>
    </row>
    <row r="130" spans="1:38" s="358" customFormat="1" ht="15">
      <c r="A130" s="10"/>
      <c r="B130" s="10"/>
      <c r="C130" s="10"/>
      <c r="D130" s="75" t="s">
        <v>76</v>
      </c>
      <c r="E130" s="9"/>
      <c r="F130" s="9"/>
      <c r="G130" s="9"/>
      <c r="H130" s="42"/>
      <c r="I130" s="76"/>
      <c r="K130" s="42"/>
      <c r="L130" s="42"/>
      <c r="M130" s="42"/>
      <c r="N130" s="9"/>
      <c r="O130" s="9"/>
      <c r="P130" s="9"/>
      <c r="Q130" s="9" t="s">
        <v>79</v>
      </c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10"/>
      <c r="AD130" s="8"/>
      <c r="AE130" s="8"/>
      <c r="AF130" s="370"/>
      <c r="AI130" s="8"/>
      <c r="AJ130" s="8"/>
      <c r="AK130" s="8"/>
      <c r="AL130" s="8"/>
    </row>
  </sheetData>
  <sheetProtection/>
  <mergeCells count="124">
    <mergeCell ref="K26:K27"/>
    <mergeCell ref="K77:K78"/>
    <mergeCell ref="O26:O27"/>
    <mergeCell ref="N26:N27"/>
    <mergeCell ref="M26:M27"/>
    <mergeCell ref="M77:M78"/>
    <mergeCell ref="N77:N78"/>
    <mergeCell ref="O77:O78"/>
    <mergeCell ref="AH4:AH5"/>
    <mergeCell ref="AG4:AG5"/>
    <mergeCell ref="AM4:AM5"/>
    <mergeCell ref="AL4:AL5"/>
    <mergeCell ref="AK4:AK5"/>
    <mergeCell ref="AI4:AI5"/>
    <mergeCell ref="AJ4:AJ5"/>
    <mergeCell ref="P2:Q2"/>
    <mergeCell ref="K4:K5"/>
    <mergeCell ref="N3:O3"/>
    <mergeCell ref="N4:N5"/>
    <mergeCell ref="K2:N2"/>
    <mergeCell ref="Q3:Q5"/>
    <mergeCell ref="K3:M3"/>
    <mergeCell ref="P3:P5"/>
    <mergeCell ref="L4:L5"/>
    <mergeCell ref="AB121:AC121"/>
    <mergeCell ref="U119:V119"/>
    <mergeCell ref="AC119:AF119"/>
    <mergeCell ref="AE2:AE5"/>
    <mergeCell ref="AF2:AF5"/>
    <mergeCell ref="Z2:AC2"/>
    <mergeCell ref="AC3:AC5"/>
    <mergeCell ref="U2:W2"/>
    <mergeCell ref="V3:W3"/>
    <mergeCell ref="Z3:Z5"/>
    <mergeCell ref="R4:R5"/>
    <mergeCell ref="S4:T4"/>
    <mergeCell ref="X2:Y2"/>
    <mergeCell ref="AD2:AD5"/>
    <mergeCell ref="AA3:AA5"/>
    <mergeCell ref="AB3:AB5"/>
    <mergeCell ref="X3:X5"/>
    <mergeCell ref="Y3:Y5"/>
    <mergeCell ref="U3:U5"/>
    <mergeCell ref="V4:V5"/>
    <mergeCell ref="AI2:AM3"/>
    <mergeCell ref="AG2:AH3"/>
    <mergeCell ref="R2:T2"/>
    <mergeCell ref="R3:T3"/>
    <mergeCell ref="C2:C5"/>
    <mergeCell ref="D2:D5"/>
    <mergeCell ref="E2:E5"/>
    <mergeCell ref="F2:F5"/>
    <mergeCell ref="B26:B27"/>
    <mergeCell ref="A26:A27"/>
    <mergeCell ref="G2:H2"/>
    <mergeCell ref="I2:J2"/>
    <mergeCell ref="G3:G5"/>
    <mergeCell ref="H3:H5"/>
    <mergeCell ref="I3:I5"/>
    <mergeCell ref="J3:J5"/>
    <mergeCell ref="A2:A5"/>
    <mergeCell ref="B2:B5"/>
    <mergeCell ref="F26:F27"/>
    <mergeCell ref="E26:E27"/>
    <mergeCell ref="D26:D27"/>
    <mergeCell ref="C26:C27"/>
    <mergeCell ref="Q26:Q27"/>
    <mergeCell ref="P26:P27"/>
    <mergeCell ref="X26:X27"/>
    <mergeCell ref="W26:W27"/>
    <mergeCell ref="V26:V27"/>
    <mergeCell ref="U26:U27"/>
    <mergeCell ref="T26:T27"/>
    <mergeCell ref="S26:S27"/>
    <mergeCell ref="G26:G27"/>
    <mergeCell ref="J26:J27"/>
    <mergeCell ref="I26:I27"/>
    <mergeCell ref="H26:H27"/>
    <mergeCell ref="R26:R27"/>
    <mergeCell ref="AB26:AB27"/>
    <mergeCell ref="AA26:AA27"/>
    <mergeCell ref="Z26:Z27"/>
    <mergeCell ref="AM26:AM27"/>
    <mergeCell ref="AK26:AK27"/>
    <mergeCell ref="AI26:AI27"/>
    <mergeCell ref="AL26:AL27"/>
    <mergeCell ref="AH26:AH27"/>
    <mergeCell ref="AG26:AG27"/>
    <mergeCell ref="AF26:AF27"/>
    <mergeCell ref="AB77:AB78"/>
    <mergeCell ref="AC77:AC78"/>
    <mergeCell ref="AE26:AE27"/>
    <mergeCell ref="AD26:AD27"/>
    <mergeCell ref="AC26:AC27"/>
    <mergeCell ref="AA77:AA78"/>
    <mergeCell ref="AM77:AM78"/>
    <mergeCell ref="AL77:AL78"/>
    <mergeCell ref="AK77:AK78"/>
    <mergeCell ref="AI77:AI78"/>
    <mergeCell ref="AH77:AH78"/>
    <mergeCell ref="AG77:AG78"/>
    <mergeCell ref="AF77:AF78"/>
    <mergeCell ref="AE77:AE78"/>
    <mergeCell ref="AD77:AD78"/>
    <mergeCell ref="J77:J78"/>
    <mergeCell ref="I77:I78"/>
    <mergeCell ref="Z77:Z78"/>
    <mergeCell ref="X77:X78"/>
    <mergeCell ref="W77:W78"/>
    <mergeCell ref="V77:V78"/>
    <mergeCell ref="U77:U78"/>
    <mergeCell ref="T77:T78"/>
    <mergeCell ref="S77:S78"/>
    <mergeCell ref="R77:R78"/>
    <mergeCell ref="Q77:Q78"/>
    <mergeCell ref="P77:P78"/>
    <mergeCell ref="B77:B78"/>
    <mergeCell ref="A77:A78"/>
    <mergeCell ref="H77:H78"/>
    <mergeCell ref="G77:G78"/>
    <mergeCell ref="F77:F78"/>
    <mergeCell ref="E77:E78"/>
    <mergeCell ref="D77:D78"/>
    <mergeCell ref="C77:C78"/>
  </mergeCells>
  <printOptions horizontalCentered="1"/>
  <pageMargins left="0" right="0" top="0" bottom="0" header="0" footer="0"/>
  <pageSetup horizontalDpi="600" verticalDpi="600" orientation="landscape" paperSize="9" scale="79" r:id="rId1"/>
  <rowBreaks count="2" manualBreakCount="2">
    <brk id="35" min="2" max="37" man="1"/>
    <brk id="74" min="2" max="37" man="1"/>
  </rowBreaks>
  <colBreaks count="1" manualBreakCount="1">
    <brk id="17" max="1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126"/>
  <sheetViews>
    <sheetView zoomScale="80" zoomScaleNormal="80" zoomScaleSheetLayoutView="75" zoomScalePageLayoutView="0" workbookViewId="0" topLeftCell="A82">
      <selection activeCell="D2" sqref="D2:F4"/>
    </sheetView>
  </sheetViews>
  <sheetFormatPr defaultColWidth="9.140625" defaultRowHeight="12.75"/>
  <cols>
    <col min="1" max="1" width="5.00390625" style="0" customWidth="1"/>
    <col min="2" max="2" width="17.00390625" style="0" customWidth="1"/>
    <col min="3" max="6" width="8.57421875" style="47" customWidth="1"/>
    <col min="7" max="8" width="8.140625" style="0" customWidth="1"/>
    <col min="9" max="9" width="5.57421875" style="0" customWidth="1"/>
    <col min="10" max="10" width="8.28125" style="0" customWidth="1"/>
    <col min="11" max="11" width="10.57421875" style="47" bestFit="1" customWidth="1"/>
    <col min="12" max="12" width="11.7109375" style="0" customWidth="1"/>
    <col min="13" max="13" width="11.57421875" style="0" customWidth="1"/>
    <col min="14" max="14" width="12.7109375" style="0" customWidth="1"/>
    <col min="15" max="15" width="7.28125" style="47" customWidth="1"/>
    <col min="16" max="16" width="9.28125" style="0" hidden="1" customWidth="1"/>
    <col min="17" max="17" width="2.28125" style="0" hidden="1" customWidth="1"/>
    <col min="18" max="18" width="5.28125" style="0" customWidth="1"/>
    <col min="19" max="19" width="11.57421875" style="0" customWidth="1"/>
    <col min="20" max="20" width="6.8515625" style="0" customWidth="1"/>
    <col min="21" max="21" width="10.28125" style="47" customWidth="1"/>
    <col min="22" max="22" width="11.57421875" style="47" customWidth="1"/>
    <col min="23" max="23" width="9.28125" style="0" customWidth="1"/>
    <col min="24" max="24" width="6.57421875" style="0" customWidth="1"/>
    <col min="25" max="25" width="5.00390625" style="0" customWidth="1"/>
    <col min="26" max="26" width="4.140625" style="0" customWidth="1"/>
    <col min="27" max="27" width="4.28125" style="0" customWidth="1"/>
    <col min="28" max="28" width="4.140625" style="0" customWidth="1"/>
    <col min="29" max="29" width="6.8515625" style="0" customWidth="1"/>
    <col min="30" max="30" width="6.421875" style="0" customWidth="1"/>
    <col min="31" max="31" width="5.8515625" style="109" customWidth="1"/>
    <col min="32" max="32" width="12.00390625" style="0" customWidth="1"/>
    <col min="33" max="33" width="11.57421875" style="0" customWidth="1"/>
    <col min="34" max="34" width="6.8515625" style="1" customWidth="1"/>
    <col min="35" max="35" width="6.57421875" style="1" bestFit="1" customWidth="1"/>
    <col min="36" max="36" width="6.57421875" style="1" customWidth="1"/>
    <col min="37" max="37" width="8.00390625" style="0" bestFit="1" customWidth="1"/>
  </cols>
  <sheetData>
    <row r="1" spans="1:37" ht="15.75" thickBot="1">
      <c r="A1" s="1"/>
      <c r="B1" s="6" t="s">
        <v>87</v>
      </c>
      <c r="C1" s="8"/>
      <c r="D1" s="8"/>
      <c r="E1" s="8"/>
      <c r="F1" s="8"/>
      <c r="G1" s="1"/>
      <c r="H1" s="2"/>
      <c r="I1" s="2"/>
      <c r="J1" s="2"/>
      <c r="K1" s="40"/>
      <c r="L1" s="3"/>
      <c r="M1" s="4"/>
      <c r="N1" s="4"/>
      <c r="O1" s="49"/>
      <c r="P1" s="5"/>
      <c r="Q1" s="5"/>
      <c r="R1" s="2"/>
      <c r="S1" s="2"/>
      <c r="T1" s="2"/>
      <c r="U1" s="62"/>
      <c r="V1" s="62"/>
      <c r="W1" s="2"/>
      <c r="X1" s="2"/>
      <c r="Y1" s="2"/>
      <c r="Z1" s="2"/>
      <c r="AA1" s="2"/>
      <c r="AB1" s="2"/>
      <c r="AC1" s="1"/>
      <c r="AD1" s="1"/>
      <c r="AE1" s="2"/>
      <c r="AF1" s="213"/>
      <c r="AG1" s="213"/>
      <c r="AK1" s="213"/>
    </row>
    <row r="2" spans="1:37" ht="15.75" customHeight="1" thickBot="1">
      <c r="A2" s="656" t="s">
        <v>0</v>
      </c>
      <c r="B2" s="655" t="s">
        <v>1</v>
      </c>
      <c r="C2" s="818" t="s">
        <v>2</v>
      </c>
      <c r="D2" s="787"/>
      <c r="E2" s="788"/>
      <c r="F2" s="789"/>
      <c r="G2" s="648" t="s">
        <v>3</v>
      </c>
      <c r="H2" s="648" t="s">
        <v>4</v>
      </c>
      <c r="I2" s="647" t="s">
        <v>5</v>
      </c>
      <c r="J2" s="679" t="s">
        <v>6</v>
      </c>
      <c r="K2" s="680"/>
      <c r="L2" s="681" t="s">
        <v>88</v>
      </c>
      <c r="M2" s="682"/>
      <c r="N2" s="753" t="s">
        <v>7</v>
      </c>
      <c r="O2" s="754"/>
      <c r="P2" s="754"/>
      <c r="Q2" s="810"/>
      <c r="R2" s="753" t="s">
        <v>8</v>
      </c>
      <c r="S2" s="747"/>
      <c r="T2" s="166" t="s">
        <v>91</v>
      </c>
      <c r="U2" s="65" t="s">
        <v>68</v>
      </c>
      <c r="V2" s="66" t="s">
        <v>69</v>
      </c>
      <c r="W2" s="811" t="s">
        <v>9</v>
      </c>
      <c r="X2" s="707"/>
      <c r="Y2" s="733" t="s">
        <v>10</v>
      </c>
      <c r="Z2" s="734"/>
      <c r="AA2" s="734"/>
      <c r="AB2" s="735"/>
      <c r="AC2" s="708" t="s">
        <v>11</v>
      </c>
      <c r="AD2" s="729" t="s">
        <v>12</v>
      </c>
      <c r="AE2" s="729" t="s">
        <v>13</v>
      </c>
      <c r="AF2" s="814" t="s">
        <v>73</v>
      </c>
      <c r="AG2" s="815"/>
      <c r="AH2" s="686" t="s">
        <v>93</v>
      </c>
      <c r="AI2" s="687"/>
      <c r="AJ2" s="687"/>
      <c r="AK2" s="688"/>
    </row>
    <row r="3" spans="1:37" ht="39" customHeight="1" thickBot="1" thickTop="1">
      <c r="A3" s="657"/>
      <c r="B3" s="650"/>
      <c r="C3" s="819"/>
      <c r="D3" s="790"/>
      <c r="E3" s="791"/>
      <c r="F3" s="792"/>
      <c r="G3" s="645"/>
      <c r="H3" s="645"/>
      <c r="I3" s="684"/>
      <c r="J3" s="683" t="s">
        <v>14</v>
      </c>
      <c r="K3" s="664" t="s">
        <v>15</v>
      </c>
      <c r="L3" s="660" t="s">
        <v>16</v>
      </c>
      <c r="M3" s="662" t="s">
        <v>17</v>
      </c>
      <c r="N3" s="806" t="s">
        <v>18</v>
      </c>
      <c r="O3" s="801" t="s">
        <v>19</v>
      </c>
      <c r="P3" s="802"/>
      <c r="Q3" s="803"/>
      <c r="R3" s="808" t="s">
        <v>20</v>
      </c>
      <c r="S3" s="755" t="s">
        <v>21</v>
      </c>
      <c r="T3" s="799" t="s">
        <v>70</v>
      </c>
      <c r="U3" s="812" t="s">
        <v>70</v>
      </c>
      <c r="V3" s="813"/>
      <c r="W3" s="683" t="s">
        <v>22</v>
      </c>
      <c r="X3" s="720" t="s">
        <v>23</v>
      </c>
      <c r="Y3" s="743" t="s">
        <v>24</v>
      </c>
      <c r="Z3" s="712" t="s">
        <v>25</v>
      </c>
      <c r="AA3" s="715" t="s">
        <v>26</v>
      </c>
      <c r="AB3" s="736" t="s">
        <v>92</v>
      </c>
      <c r="AC3" s="709"/>
      <c r="AD3" s="730"/>
      <c r="AE3" s="730"/>
      <c r="AF3" s="816"/>
      <c r="AG3" s="817"/>
      <c r="AH3" s="689"/>
      <c r="AI3" s="690"/>
      <c r="AJ3" s="690"/>
      <c r="AK3" s="691"/>
    </row>
    <row r="4" spans="1:37" ht="78" customHeight="1" thickBot="1" thickTop="1">
      <c r="A4" s="654"/>
      <c r="B4" s="651"/>
      <c r="C4" s="820"/>
      <c r="D4" s="793"/>
      <c r="E4" s="794"/>
      <c r="F4" s="795"/>
      <c r="G4" s="646"/>
      <c r="H4" s="646"/>
      <c r="I4" s="685"/>
      <c r="J4" s="663"/>
      <c r="K4" s="665"/>
      <c r="L4" s="661"/>
      <c r="M4" s="659"/>
      <c r="N4" s="807"/>
      <c r="O4" s="804"/>
      <c r="P4" s="805"/>
      <c r="Q4" s="737"/>
      <c r="R4" s="809"/>
      <c r="S4" s="756"/>
      <c r="T4" s="800"/>
      <c r="U4" s="793"/>
      <c r="V4" s="795"/>
      <c r="W4" s="663"/>
      <c r="X4" s="721"/>
      <c r="Y4" s="745"/>
      <c r="Z4" s="714"/>
      <c r="AA4" s="717"/>
      <c r="AB4" s="737"/>
      <c r="AC4" s="711"/>
      <c r="AD4" s="732"/>
      <c r="AE4" s="732"/>
      <c r="AF4" s="214" t="s">
        <v>71</v>
      </c>
      <c r="AG4" s="215" t="s">
        <v>72</v>
      </c>
      <c r="AH4" s="170" t="s">
        <v>94</v>
      </c>
      <c r="AI4" s="171" t="s">
        <v>95</v>
      </c>
      <c r="AJ4" s="172" t="s">
        <v>96</v>
      </c>
      <c r="AK4" s="216" t="s">
        <v>97</v>
      </c>
    </row>
    <row r="5" spans="1:37" ht="15">
      <c r="A5" s="105">
        <v>1</v>
      </c>
      <c r="B5" s="105">
        <v>2</v>
      </c>
      <c r="C5" s="105">
        <v>3</v>
      </c>
      <c r="D5" s="796"/>
      <c r="E5" s="797"/>
      <c r="F5" s="798"/>
      <c r="G5" s="105">
        <v>4</v>
      </c>
      <c r="H5" s="105">
        <v>5</v>
      </c>
      <c r="I5" s="105">
        <v>6</v>
      </c>
      <c r="J5" s="105">
        <v>7</v>
      </c>
      <c r="K5" s="105">
        <v>8</v>
      </c>
      <c r="L5" s="105">
        <v>9</v>
      </c>
      <c r="M5" s="105">
        <v>9</v>
      </c>
      <c r="N5" s="105">
        <v>10</v>
      </c>
      <c r="O5" s="105">
        <v>11</v>
      </c>
      <c r="P5" s="105">
        <v>13</v>
      </c>
      <c r="Q5" s="105">
        <v>14</v>
      </c>
      <c r="R5" s="105">
        <v>12</v>
      </c>
      <c r="S5" s="105">
        <v>13</v>
      </c>
      <c r="T5" s="105">
        <v>14</v>
      </c>
      <c r="U5" s="105">
        <v>15</v>
      </c>
      <c r="V5" s="105">
        <v>16</v>
      </c>
      <c r="W5" s="105">
        <v>17</v>
      </c>
      <c r="X5" s="105">
        <v>18</v>
      </c>
      <c r="Y5" s="105">
        <v>19</v>
      </c>
      <c r="Z5" s="105">
        <v>20</v>
      </c>
      <c r="AA5" s="105">
        <v>21</v>
      </c>
      <c r="AB5" s="105">
        <v>22</v>
      </c>
      <c r="AC5" s="105">
        <v>23</v>
      </c>
      <c r="AD5" s="105">
        <v>24</v>
      </c>
      <c r="AE5" s="105">
        <v>25</v>
      </c>
      <c r="AF5" s="105">
        <v>26</v>
      </c>
      <c r="AG5" s="175">
        <v>27</v>
      </c>
      <c r="AH5" s="198">
        <v>28</v>
      </c>
      <c r="AI5" s="199">
        <v>29</v>
      </c>
      <c r="AJ5" s="200">
        <v>30</v>
      </c>
      <c r="AK5" s="217">
        <v>31</v>
      </c>
    </row>
    <row r="6" spans="1:37" ht="15">
      <c r="A6" s="110"/>
      <c r="B6" s="111"/>
      <c r="C6" s="112"/>
      <c r="D6" s="112"/>
      <c r="E6" s="112"/>
      <c r="F6" s="112"/>
      <c r="G6" s="113"/>
      <c r="H6" s="114"/>
      <c r="I6" s="115"/>
      <c r="J6" s="115"/>
      <c r="K6" s="116"/>
      <c r="L6" s="117"/>
      <c r="M6" s="118"/>
      <c r="N6" s="118"/>
      <c r="O6" s="117"/>
      <c r="P6" s="117"/>
      <c r="Q6" s="117"/>
      <c r="R6" s="117"/>
      <c r="S6" s="118"/>
      <c r="T6" s="118"/>
      <c r="U6" s="118"/>
      <c r="V6" s="118"/>
      <c r="W6" s="118"/>
      <c r="X6" s="118"/>
      <c r="Y6" s="114"/>
      <c r="Z6" s="118"/>
      <c r="AA6" s="118"/>
      <c r="AB6" s="118"/>
      <c r="AC6" s="114"/>
      <c r="AD6" s="114"/>
      <c r="AE6" s="114"/>
      <c r="AF6" s="218"/>
      <c r="AG6" s="219"/>
      <c r="AH6" s="197"/>
      <c r="AI6" s="16"/>
      <c r="AJ6" s="16"/>
      <c r="AK6" s="220"/>
    </row>
    <row r="7" spans="1:37" ht="12.75">
      <c r="A7" s="119"/>
      <c r="B7" s="120" t="s">
        <v>67</v>
      </c>
      <c r="C7" s="121"/>
      <c r="D7" s="121"/>
      <c r="E7" s="121"/>
      <c r="F7" s="121"/>
      <c r="G7" s="122"/>
      <c r="H7" s="123"/>
      <c r="I7" s="124"/>
      <c r="J7" s="124"/>
      <c r="K7" s="125">
        <f>SUM(K9:K90)-K73-K34</f>
        <v>60140.59925260155</v>
      </c>
      <c r="L7" s="125">
        <f>SUM(L9:L90)</f>
        <v>646480.5197814006</v>
      </c>
      <c r="M7" s="125">
        <f>SUM(M9:M90)-M73-M34</f>
        <v>166979.33274732972</v>
      </c>
      <c r="N7" s="125">
        <f>SUM(N9:N90)-N73-N34</f>
        <v>149646.02000000005</v>
      </c>
      <c r="O7" s="169">
        <f>SUM(O9:O90)-O73-O34</f>
        <v>3343</v>
      </c>
      <c r="P7" s="125">
        <f>SUM(P9:P90)</f>
        <v>26</v>
      </c>
      <c r="Q7" s="125">
        <f>SUM(Q9:Q90)</f>
        <v>28</v>
      </c>
      <c r="R7" s="169">
        <f>SUM(R9:R90)-R73-R34</f>
        <v>227</v>
      </c>
      <c r="S7" s="125">
        <f>SUM(S9:S90)-S73-S34</f>
        <v>16583.9</v>
      </c>
      <c r="T7" s="125">
        <f>SUM(T9:T90)-T73-T34</f>
        <v>32.2</v>
      </c>
      <c r="U7" s="167">
        <f>SUM(U9:U90)-U73-U34</f>
        <v>8574.6</v>
      </c>
      <c r="V7" s="167">
        <f>SUM(V9:V90)-V73-V34</f>
        <v>30739.826999999997</v>
      </c>
      <c r="W7" s="125"/>
      <c r="X7" s="125"/>
      <c r="Y7" s="123"/>
      <c r="Z7" s="125"/>
      <c r="AA7" s="125"/>
      <c r="AB7" s="125"/>
      <c r="AC7" s="123"/>
      <c r="AD7" s="123"/>
      <c r="AE7" s="123"/>
      <c r="AF7" s="167">
        <f>SUM(AF9:AF90)-AF73-AF34</f>
        <v>40610</v>
      </c>
      <c r="AG7" s="173">
        <f>SUM(AG9:AG90)-AG73-AG34</f>
        <v>30478</v>
      </c>
      <c r="AH7" s="182">
        <v>9.22</v>
      </c>
      <c r="AI7" s="178">
        <v>1.04</v>
      </c>
      <c r="AJ7" s="178">
        <v>12.8</v>
      </c>
      <c r="AK7" s="193">
        <v>10.86</v>
      </c>
    </row>
    <row r="8" spans="1:37" ht="15">
      <c r="A8" s="126"/>
      <c r="B8" s="127"/>
      <c r="C8" s="128"/>
      <c r="D8" s="128"/>
      <c r="E8" s="128"/>
      <c r="F8" s="128"/>
      <c r="G8" s="129"/>
      <c r="H8" s="130"/>
      <c r="I8" s="131"/>
      <c r="J8" s="131"/>
      <c r="K8" s="132"/>
      <c r="L8" s="133"/>
      <c r="M8" s="134"/>
      <c r="N8" s="120"/>
      <c r="O8" s="133"/>
      <c r="P8" s="133"/>
      <c r="Q8" s="133"/>
      <c r="R8" s="133"/>
      <c r="S8" s="134"/>
      <c r="T8" s="157"/>
      <c r="U8" s="157"/>
      <c r="V8" s="157"/>
      <c r="W8" s="134"/>
      <c r="X8" s="134"/>
      <c r="Y8" s="130"/>
      <c r="Z8" s="134"/>
      <c r="AA8" s="134"/>
      <c r="AB8" s="134"/>
      <c r="AC8" s="130"/>
      <c r="AD8" s="130"/>
      <c r="AE8" s="130"/>
      <c r="AF8" s="221"/>
      <c r="AG8" s="222"/>
      <c r="AH8" s="181"/>
      <c r="AI8" s="179"/>
      <c r="AJ8" s="179"/>
      <c r="AK8" s="194"/>
    </row>
    <row r="9" spans="1:37" s="47" customFormat="1" ht="15">
      <c r="A9" s="135">
        <v>1</v>
      </c>
      <c r="B9" s="127" t="s">
        <v>27</v>
      </c>
      <c r="C9" s="128">
        <v>2</v>
      </c>
      <c r="D9" s="128"/>
      <c r="E9" s="128"/>
      <c r="F9" s="128"/>
      <c r="G9" s="130">
        <v>1968</v>
      </c>
      <c r="H9" s="130" t="s">
        <v>28</v>
      </c>
      <c r="I9" s="131">
        <v>5</v>
      </c>
      <c r="J9" s="130" t="s">
        <v>29</v>
      </c>
      <c r="K9" s="157">
        <f aca="true" t="shared" si="0" ref="K9:K22">M9*1110/2836.5</f>
        <v>1315.9947117927022</v>
      </c>
      <c r="L9" s="157">
        <v>13698</v>
      </c>
      <c r="M9" s="157">
        <f aca="true" t="shared" si="1" ref="M9:M14">N9+S9</f>
        <v>3362.9</v>
      </c>
      <c r="N9" s="157">
        <v>3117.3</v>
      </c>
      <c r="O9" s="133">
        <v>78</v>
      </c>
      <c r="P9" s="133"/>
      <c r="Q9" s="133"/>
      <c r="R9" s="131">
        <v>4</v>
      </c>
      <c r="S9" s="157">
        <v>245.6</v>
      </c>
      <c r="T9" s="157"/>
      <c r="U9" s="157"/>
      <c r="V9" s="157"/>
      <c r="W9" s="134" t="s">
        <v>30</v>
      </c>
      <c r="X9" s="134" t="s">
        <v>31</v>
      </c>
      <c r="Y9" s="136" t="s">
        <v>32</v>
      </c>
      <c r="Z9" s="136" t="s">
        <v>32</v>
      </c>
      <c r="AA9" s="136" t="s">
        <v>32</v>
      </c>
      <c r="AB9" s="136" t="s">
        <v>32</v>
      </c>
      <c r="AC9" s="130" t="s">
        <v>33</v>
      </c>
      <c r="AD9" s="130" t="s">
        <v>34</v>
      </c>
      <c r="AE9" s="130" t="s">
        <v>35</v>
      </c>
      <c r="AF9" s="223">
        <v>662</v>
      </c>
      <c r="AG9" s="224">
        <v>336</v>
      </c>
      <c r="AH9" s="201">
        <v>9.05</v>
      </c>
      <c r="AI9" s="179">
        <v>1.04</v>
      </c>
      <c r="AJ9" s="127"/>
      <c r="AK9" s="202">
        <f>SUM(AH9:AJ9)</f>
        <v>10.09</v>
      </c>
    </row>
    <row r="10" spans="1:37" s="47" customFormat="1" ht="15">
      <c r="A10" s="135">
        <v>2</v>
      </c>
      <c r="B10" s="137"/>
      <c r="C10" s="128">
        <v>3</v>
      </c>
      <c r="D10" s="128"/>
      <c r="E10" s="128"/>
      <c r="F10" s="128"/>
      <c r="G10" s="130">
        <v>1966</v>
      </c>
      <c r="H10" s="130" t="s">
        <v>28</v>
      </c>
      <c r="I10" s="130">
        <v>5</v>
      </c>
      <c r="J10" s="130" t="s">
        <v>29</v>
      </c>
      <c r="K10" s="157">
        <f t="shared" si="0"/>
        <v>1307.6985721840297</v>
      </c>
      <c r="L10" s="157">
        <v>13561</v>
      </c>
      <c r="M10" s="157">
        <f t="shared" si="1"/>
        <v>3341.7</v>
      </c>
      <c r="N10" s="157">
        <v>3097.7</v>
      </c>
      <c r="O10" s="133">
        <v>78</v>
      </c>
      <c r="P10" s="128"/>
      <c r="Q10" s="128"/>
      <c r="R10" s="130">
        <v>4</v>
      </c>
      <c r="S10" s="157">
        <v>244</v>
      </c>
      <c r="T10" s="157"/>
      <c r="U10" s="157"/>
      <c r="V10" s="157">
        <v>597.4</v>
      </c>
      <c r="W10" s="134" t="s">
        <v>30</v>
      </c>
      <c r="X10" s="134" t="s">
        <v>31</v>
      </c>
      <c r="Y10" s="136" t="s">
        <v>32</v>
      </c>
      <c r="Z10" s="136" t="s">
        <v>32</v>
      </c>
      <c r="AA10" s="136" t="s">
        <v>32</v>
      </c>
      <c r="AB10" s="136" t="s">
        <v>32</v>
      </c>
      <c r="AC10" s="130" t="s">
        <v>33</v>
      </c>
      <c r="AD10" s="130" t="s">
        <v>34</v>
      </c>
      <c r="AE10" s="130" t="s">
        <v>35</v>
      </c>
      <c r="AF10" s="223">
        <v>684</v>
      </c>
      <c r="AG10" s="224">
        <v>442</v>
      </c>
      <c r="AH10" s="201">
        <v>9.15</v>
      </c>
      <c r="AI10" s="179">
        <v>1.04</v>
      </c>
      <c r="AJ10" s="127"/>
      <c r="AK10" s="202">
        <f aca="true" t="shared" si="2" ref="AK10:AK72">SUM(AH10:AJ10)</f>
        <v>10.190000000000001</v>
      </c>
    </row>
    <row r="11" spans="1:37" s="47" customFormat="1" ht="15">
      <c r="A11" s="135">
        <v>3</v>
      </c>
      <c r="B11" s="137"/>
      <c r="C11" s="128">
        <v>6</v>
      </c>
      <c r="D11" s="128"/>
      <c r="E11" s="128"/>
      <c r="F11" s="128"/>
      <c r="G11" s="130">
        <v>1966</v>
      </c>
      <c r="H11" s="130" t="s">
        <v>28</v>
      </c>
      <c r="I11" s="130">
        <v>5</v>
      </c>
      <c r="J11" s="130" t="s">
        <v>29</v>
      </c>
      <c r="K11" s="157">
        <f t="shared" si="0"/>
        <v>1094.9338974087784</v>
      </c>
      <c r="L11" s="157">
        <v>13444</v>
      </c>
      <c r="M11" s="157">
        <f t="shared" si="1"/>
        <v>2798</v>
      </c>
      <c r="N11" s="157">
        <v>2541.5</v>
      </c>
      <c r="O11" s="133">
        <v>64</v>
      </c>
      <c r="P11" s="128"/>
      <c r="Q11" s="128"/>
      <c r="R11" s="130">
        <v>4</v>
      </c>
      <c r="S11" s="157">
        <v>256.5</v>
      </c>
      <c r="T11" s="157"/>
      <c r="U11" s="157"/>
      <c r="V11" s="157"/>
      <c r="W11" s="134" t="s">
        <v>30</v>
      </c>
      <c r="X11" s="134" t="s">
        <v>31</v>
      </c>
      <c r="Y11" s="136" t="s">
        <v>32</v>
      </c>
      <c r="Z11" s="136" t="s">
        <v>32</v>
      </c>
      <c r="AA11" s="136" t="s">
        <v>32</v>
      </c>
      <c r="AB11" s="136" t="s">
        <v>32</v>
      </c>
      <c r="AC11" s="130" t="s">
        <v>33</v>
      </c>
      <c r="AD11" s="130" t="s">
        <v>34</v>
      </c>
      <c r="AE11" s="130" t="s">
        <v>35</v>
      </c>
      <c r="AF11" s="223">
        <v>1045</v>
      </c>
      <c r="AG11" s="224">
        <v>305</v>
      </c>
      <c r="AH11" s="201">
        <v>9.05</v>
      </c>
      <c r="AI11" s="179">
        <v>1.04</v>
      </c>
      <c r="AJ11" s="127"/>
      <c r="AK11" s="202">
        <f t="shared" si="2"/>
        <v>10.09</v>
      </c>
    </row>
    <row r="12" spans="1:37" s="47" customFormat="1" ht="15">
      <c r="A12" s="135">
        <v>4</v>
      </c>
      <c r="B12" s="137"/>
      <c r="C12" s="128">
        <v>7</v>
      </c>
      <c r="D12" s="128"/>
      <c r="E12" s="128"/>
      <c r="F12" s="128"/>
      <c r="G12" s="130">
        <v>1967</v>
      </c>
      <c r="H12" s="130" t="s">
        <v>28</v>
      </c>
      <c r="I12" s="130">
        <v>5</v>
      </c>
      <c r="J12" s="130" t="s">
        <v>29</v>
      </c>
      <c r="K12" s="157">
        <f>M12*1110/2836.5</f>
        <v>1309.616076150185</v>
      </c>
      <c r="L12" s="157">
        <v>13347</v>
      </c>
      <c r="M12" s="157">
        <f t="shared" si="1"/>
        <v>3346.6</v>
      </c>
      <c r="N12" s="157">
        <v>3103.4</v>
      </c>
      <c r="O12" s="133">
        <v>78</v>
      </c>
      <c r="P12" s="128"/>
      <c r="Q12" s="128"/>
      <c r="R12" s="130">
        <v>4</v>
      </c>
      <c r="S12" s="157">
        <v>243.2</v>
      </c>
      <c r="T12" s="157"/>
      <c r="U12" s="157"/>
      <c r="V12" s="157">
        <v>588.3</v>
      </c>
      <c r="W12" s="134" t="s">
        <v>30</v>
      </c>
      <c r="X12" s="134" t="s">
        <v>31</v>
      </c>
      <c r="Y12" s="136" t="s">
        <v>32</v>
      </c>
      <c r="Z12" s="136" t="s">
        <v>32</v>
      </c>
      <c r="AA12" s="136" t="s">
        <v>32</v>
      </c>
      <c r="AB12" s="136" t="s">
        <v>32</v>
      </c>
      <c r="AC12" s="130" t="s">
        <v>33</v>
      </c>
      <c r="AD12" s="130" t="s">
        <v>34</v>
      </c>
      <c r="AE12" s="130" t="s">
        <v>35</v>
      </c>
      <c r="AF12" s="223">
        <v>835</v>
      </c>
      <c r="AG12" s="224">
        <v>314</v>
      </c>
      <c r="AH12" s="201">
        <v>9.15</v>
      </c>
      <c r="AI12" s="179">
        <v>1.04</v>
      </c>
      <c r="AJ12" s="127"/>
      <c r="AK12" s="202">
        <f t="shared" si="2"/>
        <v>10.190000000000001</v>
      </c>
    </row>
    <row r="13" spans="1:37" s="47" customFormat="1" ht="15">
      <c r="A13" s="135">
        <v>5</v>
      </c>
      <c r="B13" s="137"/>
      <c r="C13" s="128">
        <v>8</v>
      </c>
      <c r="D13" s="128"/>
      <c r="E13" s="128"/>
      <c r="F13" s="128"/>
      <c r="G13" s="130">
        <v>1999</v>
      </c>
      <c r="H13" s="130" t="s">
        <v>28</v>
      </c>
      <c r="I13" s="130">
        <v>6</v>
      </c>
      <c r="J13" s="130" t="s">
        <v>36</v>
      </c>
      <c r="K13" s="157">
        <f t="shared" si="0"/>
        <v>730.7646747752511</v>
      </c>
      <c r="L13" s="157">
        <v>8076</v>
      </c>
      <c r="M13" s="157">
        <f t="shared" si="1"/>
        <v>1867.3999999999999</v>
      </c>
      <c r="N13" s="157">
        <v>1646.8</v>
      </c>
      <c r="O13" s="133">
        <v>36</v>
      </c>
      <c r="P13" s="128"/>
      <c r="Q13" s="128"/>
      <c r="R13" s="130">
        <v>2</v>
      </c>
      <c r="S13" s="157">
        <v>220.6</v>
      </c>
      <c r="T13" s="157">
        <v>4.8</v>
      </c>
      <c r="U13" s="157"/>
      <c r="V13" s="157">
        <v>317.3</v>
      </c>
      <c r="W13" s="134" t="s">
        <v>30</v>
      </c>
      <c r="X13" s="138" t="s">
        <v>37</v>
      </c>
      <c r="Y13" s="136" t="s">
        <v>32</v>
      </c>
      <c r="Z13" s="136" t="s">
        <v>32</v>
      </c>
      <c r="AA13" s="136" t="s">
        <v>32</v>
      </c>
      <c r="AB13" s="136" t="s">
        <v>32</v>
      </c>
      <c r="AC13" s="130" t="s">
        <v>33</v>
      </c>
      <c r="AD13" s="130" t="s">
        <v>34</v>
      </c>
      <c r="AE13" s="130" t="s">
        <v>35</v>
      </c>
      <c r="AF13" s="223">
        <v>239</v>
      </c>
      <c r="AG13" s="224">
        <v>164</v>
      </c>
      <c r="AH13" s="201">
        <f>11.04-1.04</f>
        <v>10</v>
      </c>
      <c r="AI13" s="179">
        <v>1.04</v>
      </c>
      <c r="AJ13" s="127"/>
      <c r="AK13" s="202">
        <f t="shared" si="2"/>
        <v>11.04</v>
      </c>
    </row>
    <row r="14" spans="1:37" s="47" customFormat="1" ht="15">
      <c r="A14" s="135">
        <v>6</v>
      </c>
      <c r="B14" s="137"/>
      <c r="C14" s="128">
        <v>9</v>
      </c>
      <c r="D14" s="128"/>
      <c r="E14" s="128"/>
      <c r="F14" s="128"/>
      <c r="G14" s="130">
        <v>1967</v>
      </c>
      <c r="H14" s="130" t="s">
        <v>28</v>
      </c>
      <c r="I14" s="130">
        <v>5</v>
      </c>
      <c r="J14" s="130" t="s">
        <v>38</v>
      </c>
      <c r="K14" s="157">
        <f t="shared" si="0"/>
        <v>1308.050766790058</v>
      </c>
      <c r="L14" s="157">
        <v>12874</v>
      </c>
      <c r="M14" s="157">
        <f t="shared" si="1"/>
        <v>3342.6</v>
      </c>
      <c r="N14" s="157">
        <v>3102.6</v>
      </c>
      <c r="O14" s="133">
        <v>78</v>
      </c>
      <c r="P14" s="128"/>
      <c r="Q14" s="128"/>
      <c r="R14" s="130">
        <v>4</v>
      </c>
      <c r="S14" s="157">
        <v>240</v>
      </c>
      <c r="T14" s="157"/>
      <c r="U14" s="157"/>
      <c r="V14" s="157"/>
      <c r="W14" s="134" t="s">
        <v>30</v>
      </c>
      <c r="X14" s="134" t="s">
        <v>31</v>
      </c>
      <c r="Y14" s="136" t="s">
        <v>32</v>
      </c>
      <c r="Z14" s="136" t="s">
        <v>32</v>
      </c>
      <c r="AA14" s="136" t="s">
        <v>32</v>
      </c>
      <c r="AB14" s="136" t="s">
        <v>32</v>
      </c>
      <c r="AC14" s="130" t="s">
        <v>33</v>
      </c>
      <c r="AD14" s="130" t="s">
        <v>34</v>
      </c>
      <c r="AE14" s="130" t="s">
        <v>35</v>
      </c>
      <c r="AF14" s="223">
        <v>1353</v>
      </c>
      <c r="AG14" s="224">
        <v>837</v>
      </c>
      <c r="AH14" s="201">
        <v>9.05</v>
      </c>
      <c r="AI14" s="179">
        <v>1.04</v>
      </c>
      <c r="AJ14" s="127"/>
      <c r="AK14" s="202">
        <f t="shared" si="2"/>
        <v>10.09</v>
      </c>
    </row>
    <row r="15" spans="1:37" s="47" customFormat="1" ht="15">
      <c r="A15" s="135">
        <v>7</v>
      </c>
      <c r="B15" s="137"/>
      <c r="C15" s="128">
        <v>10</v>
      </c>
      <c r="D15" s="128"/>
      <c r="E15" s="128"/>
      <c r="F15" s="128"/>
      <c r="G15" s="130">
        <v>1995</v>
      </c>
      <c r="H15" s="130" t="s">
        <v>28</v>
      </c>
      <c r="I15" s="130">
        <v>5</v>
      </c>
      <c r="J15" s="130" t="s">
        <v>38</v>
      </c>
      <c r="K15" s="157">
        <f>V15</f>
        <v>313.2</v>
      </c>
      <c r="L15" s="157">
        <v>5849</v>
      </c>
      <c r="M15" s="157">
        <f>N15+S15+T15</f>
        <v>1537.9</v>
      </c>
      <c r="N15" s="157">
        <v>1364.9</v>
      </c>
      <c r="O15" s="133">
        <v>30</v>
      </c>
      <c r="P15" s="128"/>
      <c r="Q15" s="128"/>
      <c r="R15" s="130">
        <v>2</v>
      </c>
      <c r="S15" s="157">
        <v>168.2</v>
      </c>
      <c r="T15" s="157">
        <v>4.8</v>
      </c>
      <c r="U15" s="157">
        <v>320.3</v>
      </c>
      <c r="V15" s="157">
        <v>313.2</v>
      </c>
      <c r="W15" s="134" t="s">
        <v>30</v>
      </c>
      <c r="X15" s="138" t="s">
        <v>37</v>
      </c>
      <c r="Y15" s="136" t="s">
        <v>32</v>
      </c>
      <c r="Z15" s="136" t="s">
        <v>32</v>
      </c>
      <c r="AA15" s="136" t="s">
        <v>32</v>
      </c>
      <c r="AB15" s="136" t="s">
        <v>32</v>
      </c>
      <c r="AC15" s="130" t="s">
        <v>33</v>
      </c>
      <c r="AD15" s="130" t="s">
        <v>34</v>
      </c>
      <c r="AE15" s="130" t="s">
        <v>35</v>
      </c>
      <c r="AF15" s="223">
        <v>1353</v>
      </c>
      <c r="AG15" s="224">
        <v>837</v>
      </c>
      <c r="AH15" s="201">
        <v>9.56</v>
      </c>
      <c r="AI15" s="179">
        <v>1.04</v>
      </c>
      <c r="AJ15" s="127"/>
      <c r="AK15" s="202">
        <f t="shared" si="2"/>
        <v>10.600000000000001</v>
      </c>
    </row>
    <row r="16" spans="1:37" s="47" customFormat="1" ht="15">
      <c r="A16" s="135">
        <v>8</v>
      </c>
      <c r="B16" s="137"/>
      <c r="C16" s="128">
        <v>14</v>
      </c>
      <c r="D16" s="128"/>
      <c r="E16" s="128"/>
      <c r="F16" s="128"/>
      <c r="G16" s="130">
        <v>1963</v>
      </c>
      <c r="H16" s="130" t="s">
        <v>28</v>
      </c>
      <c r="I16" s="130">
        <v>5</v>
      </c>
      <c r="J16" s="130" t="s">
        <v>29</v>
      </c>
      <c r="K16" s="157">
        <f t="shared" si="0"/>
        <v>1265.4586991010049</v>
      </c>
      <c r="L16" s="157">
        <v>13444.7</v>
      </c>
      <c r="M16" s="157">
        <f aca="true" t="shared" si="3" ref="M16:M33">N16+S16</f>
        <v>3233.76</v>
      </c>
      <c r="N16" s="157">
        <v>2989.76</v>
      </c>
      <c r="O16" s="133">
        <v>75</v>
      </c>
      <c r="P16" s="128"/>
      <c r="Q16" s="128"/>
      <c r="R16" s="130">
        <v>4</v>
      </c>
      <c r="S16" s="157">
        <v>244</v>
      </c>
      <c r="T16" s="157"/>
      <c r="U16" s="157"/>
      <c r="V16" s="157">
        <v>673.9</v>
      </c>
      <c r="W16" s="134" t="s">
        <v>30</v>
      </c>
      <c r="X16" s="134" t="s">
        <v>31</v>
      </c>
      <c r="Y16" s="136" t="s">
        <v>32</v>
      </c>
      <c r="Z16" s="136" t="s">
        <v>32</v>
      </c>
      <c r="AA16" s="136" t="s">
        <v>32</v>
      </c>
      <c r="AB16" s="136" t="s">
        <v>32</v>
      </c>
      <c r="AC16" s="130" t="s">
        <v>33</v>
      </c>
      <c r="AD16" s="130" t="s">
        <v>34</v>
      </c>
      <c r="AE16" s="130" t="s">
        <v>35</v>
      </c>
      <c r="AF16" s="223">
        <v>633</v>
      </c>
      <c r="AG16" s="224">
        <v>1271</v>
      </c>
      <c r="AH16" s="201">
        <v>9.15</v>
      </c>
      <c r="AI16" s="179">
        <v>1.04</v>
      </c>
      <c r="AJ16" s="127"/>
      <c r="AK16" s="202">
        <f t="shared" si="2"/>
        <v>10.190000000000001</v>
      </c>
    </row>
    <row r="17" spans="1:37" s="47" customFormat="1" ht="15">
      <c r="A17" s="135">
        <v>9</v>
      </c>
      <c r="B17" s="137"/>
      <c r="C17" s="128">
        <v>16</v>
      </c>
      <c r="D17" s="128"/>
      <c r="E17" s="128"/>
      <c r="F17" s="128"/>
      <c r="G17" s="130">
        <v>1963</v>
      </c>
      <c r="H17" s="130" t="s">
        <v>28</v>
      </c>
      <c r="I17" s="130">
        <v>5</v>
      </c>
      <c r="J17" s="130" t="s">
        <v>29</v>
      </c>
      <c r="K17" s="157">
        <f t="shared" si="0"/>
        <v>1342.4875727128504</v>
      </c>
      <c r="L17" s="157">
        <v>13465</v>
      </c>
      <c r="M17" s="157">
        <f t="shared" si="3"/>
        <v>3430.6</v>
      </c>
      <c r="N17" s="157">
        <v>3182.6</v>
      </c>
      <c r="O17" s="133">
        <v>80</v>
      </c>
      <c r="P17" s="128"/>
      <c r="Q17" s="128"/>
      <c r="R17" s="130">
        <v>4</v>
      </c>
      <c r="S17" s="157">
        <v>248</v>
      </c>
      <c r="T17" s="157"/>
      <c r="U17" s="157"/>
      <c r="V17" s="157">
        <v>868.7</v>
      </c>
      <c r="W17" s="134" t="s">
        <v>30</v>
      </c>
      <c r="X17" s="134" t="s">
        <v>31</v>
      </c>
      <c r="Y17" s="136" t="s">
        <v>32</v>
      </c>
      <c r="Z17" s="136" t="s">
        <v>32</v>
      </c>
      <c r="AA17" s="136" t="s">
        <v>32</v>
      </c>
      <c r="AB17" s="136" t="s">
        <v>32</v>
      </c>
      <c r="AC17" s="130" t="s">
        <v>33</v>
      </c>
      <c r="AD17" s="130" t="s">
        <v>34</v>
      </c>
      <c r="AE17" s="130" t="s">
        <v>35</v>
      </c>
      <c r="AF17" s="223">
        <v>547</v>
      </c>
      <c r="AG17" s="224">
        <v>965</v>
      </c>
      <c r="AH17" s="201">
        <v>9.15</v>
      </c>
      <c r="AI17" s="179">
        <v>1.04</v>
      </c>
      <c r="AJ17" s="127"/>
      <c r="AK17" s="202">
        <f t="shared" si="2"/>
        <v>10.190000000000001</v>
      </c>
    </row>
    <row r="18" spans="1:37" s="47" customFormat="1" ht="15">
      <c r="A18" s="135">
        <v>10</v>
      </c>
      <c r="B18" s="137"/>
      <c r="C18" s="128">
        <v>17</v>
      </c>
      <c r="D18" s="128"/>
      <c r="E18" s="128"/>
      <c r="F18" s="128"/>
      <c r="G18" s="130">
        <v>1963</v>
      </c>
      <c r="H18" s="130" t="s">
        <v>28</v>
      </c>
      <c r="I18" s="130">
        <v>5</v>
      </c>
      <c r="J18" s="130" t="s">
        <v>29</v>
      </c>
      <c r="K18" s="157">
        <f t="shared" si="0"/>
        <v>1343.5832892649391</v>
      </c>
      <c r="L18" s="157">
        <v>13400</v>
      </c>
      <c r="M18" s="157">
        <f t="shared" si="3"/>
        <v>3433.4</v>
      </c>
      <c r="N18" s="157">
        <v>3193.4</v>
      </c>
      <c r="O18" s="133">
        <v>80</v>
      </c>
      <c r="P18" s="128"/>
      <c r="Q18" s="128"/>
      <c r="R18" s="130">
        <v>4</v>
      </c>
      <c r="S18" s="157">
        <v>240</v>
      </c>
      <c r="T18" s="157"/>
      <c r="U18" s="157"/>
      <c r="V18" s="157">
        <v>679.1</v>
      </c>
      <c r="W18" s="134" t="s">
        <v>30</v>
      </c>
      <c r="X18" s="134" t="s">
        <v>31</v>
      </c>
      <c r="Y18" s="136" t="s">
        <v>32</v>
      </c>
      <c r="Z18" s="136" t="s">
        <v>32</v>
      </c>
      <c r="AA18" s="136" t="s">
        <v>32</v>
      </c>
      <c r="AB18" s="136" t="s">
        <v>32</v>
      </c>
      <c r="AC18" s="130" t="s">
        <v>33</v>
      </c>
      <c r="AD18" s="130" t="s">
        <v>34</v>
      </c>
      <c r="AE18" s="130" t="s">
        <v>35</v>
      </c>
      <c r="AF18" s="223">
        <v>546</v>
      </c>
      <c r="AG18" s="224">
        <v>998</v>
      </c>
      <c r="AH18" s="201">
        <v>9.15</v>
      </c>
      <c r="AI18" s="179">
        <v>1.04</v>
      </c>
      <c r="AJ18" s="127"/>
      <c r="AK18" s="202">
        <f t="shared" si="2"/>
        <v>10.190000000000001</v>
      </c>
    </row>
    <row r="19" spans="1:37" s="47" customFormat="1" ht="15">
      <c r="A19" s="135">
        <v>11</v>
      </c>
      <c r="B19" s="137"/>
      <c r="C19" s="128">
        <v>18</v>
      </c>
      <c r="D19" s="128"/>
      <c r="E19" s="128"/>
      <c r="F19" s="128"/>
      <c r="G19" s="130">
        <v>1965</v>
      </c>
      <c r="H19" s="130" t="s">
        <v>28</v>
      </c>
      <c r="I19" s="130">
        <v>5</v>
      </c>
      <c r="J19" s="130" t="s">
        <v>29</v>
      </c>
      <c r="K19" s="157">
        <f t="shared" si="0"/>
        <v>1335.8741406663141</v>
      </c>
      <c r="L19" s="157">
        <v>13678</v>
      </c>
      <c r="M19" s="157">
        <f t="shared" si="3"/>
        <v>3413.7</v>
      </c>
      <c r="N19" s="157">
        <v>3167.7</v>
      </c>
      <c r="O19" s="133">
        <v>80</v>
      </c>
      <c r="P19" s="128"/>
      <c r="Q19" s="128"/>
      <c r="R19" s="130">
        <v>4</v>
      </c>
      <c r="S19" s="157">
        <v>246</v>
      </c>
      <c r="T19" s="157"/>
      <c r="U19" s="157"/>
      <c r="V19" s="157">
        <v>679.3</v>
      </c>
      <c r="W19" s="134" t="s">
        <v>30</v>
      </c>
      <c r="X19" s="134" t="s">
        <v>31</v>
      </c>
      <c r="Y19" s="136" t="s">
        <v>32</v>
      </c>
      <c r="Z19" s="136" t="s">
        <v>32</v>
      </c>
      <c r="AA19" s="136" t="s">
        <v>32</v>
      </c>
      <c r="AB19" s="136" t="s">
        <v>32</v>
      </c>
      <c r="AC19" s="130" t="s">
        <v>33</v>
      </c>
      <c r="AD19" s="130" t="s">
        <v>34</v>
      </c>
      <c r="AE19" s="130" t="s">
        <v>35</v>
      </c>
      <c r="AF19" s="223">
        <v>553</v>
      </c>
      <c r="AG19" s="224">
        <v>966</v>
      </c>
      <c r="AH19" s="201">
        <v>9.15</v>
      </c>
      <c r="AI19" s="179">
        <v>1.04</v>
      </c>
      <c r="AJ19" s="127"/>
      <c r="AK19" s="202">
        <f t="shared" si="2"/>
        <v>10.190000000000001</v>
      </c>
    </row>
    <row r="20" spans="1:37" s="47" customFormat="1" ht="15">
      <c r="A20" s="135">
        <v>12</v>
      </c>
      <c r="B20" s="137"/>
      <c r="C20" s="128">
        <v>19</v>
      </c>
      <c r="D20" s="128"/>
      <c r="E20" s="128"/>
      <c r="F20" s="128"/>
      <c r="G20" s="130">
        <v>1966</v>
      </c>
      <c r="H20" s="130" t="s">
        <v>28</v>
      </c>
      <c r="I20" s="130">
        <v>5</v>
      </c>
      <c r="J20" s="130" t="s">
        <v>29</v>
      </c>
      <c r="K20" s="157">
        <f t="shared" si="0"/>
        <v>1345.3833950290852</v>
      </c>
      <c r="L20" s="157">
        <v>13619</v>
      </c>
      <c r="M20" s="157">
        <f t="shared" si="3"/>
        <v>3438</v>
      </c>
      <c r="N20" s="157">
        <v>3192</v>
      </c>
      <c r="O20" s="133">
        <v>80</v>
      </c>
      <c r="P20" s="128"/>
      <c r="Q20" s="128"/>
      <c r="R20" s="130">
        <v>4</v>
      </c>
      <c r="S20" s="157">
        <v>246</v>
      </c>
      <c r="T20" s="157"/>
      <c r="U20" s="157"/>
      <c r="V20" s="157">
        <v>679.3</v>
      </c>
      <c r="W20" s="134" t="s">
        <v>30</v>
      </c>
      <c r="X20" s="134" t="s">
        <v>31</v>
      </c>
      <c r="Y20" s="136" t="s">
        <v>32</v>
      </c>
      <c r="Z20" s="136" t="s">
        <v>32</v>
      </c>
      <c r="AA20" s="136" t="s">
        <v>32</v>
      </c>
      <c r="AB20" s="136" t="s">
        <v>32</v>
      </c>
      <c r="AC20" s="130" t="s">
        <v>33</v>
      </c>
      <c r="AD20" s="130" t="s">
        <v>34</v>
      </c>
      <c r="AE20" s="130" t="s">
        <v>35</v>
      </c>
      <c r="AF20" s="223">
        <v>550</v>
      </c>
      <c r="AG20" s="224">
        <v>940</v>
      </c>
      <c r="AH20" s="201">
        <v>9.15</v>
      </c>
      <c r="AI20" s="179">
        <v>1.04</v>
      </c>
      <c r="AJ20" s="127"/>
      <c r="AK20" s="202">
        <f t="shared" si="2"/>
        <v>10.190000000000001</v>
      </c>
    </row>
    <row r="21" spans="1:37" s="47" customFormat="1" ht="15">
      <c r="A21" s="135">
        <v>13</v>
      </c>
      <c r="B21" s="137"/>
      <c r="C21" s="128">
        <v>21</v>
      </c>
      <c r="D21" s="128"/>
      <c r="E21" s="128"/>
      <c r="F21" s="128"/>
      <c r="G21" s="130">
        <v>1968</v>
      </c>
      <c r="H21" s="130" t="s">
        <v>28</v>
      </c>
      <c r="I21" s="130">
        <v>5</v>
      </c>
      <c r="J21" s="130" t="s">
        <v>29</v>
      </c>
      <c r="K21" s="157">
        <f t="shared" si="0"/>
        <v>1341.3918561607616</v>
      </c>
      <c r="L21" s="157">
        <v>13099</v>
      </c>
      <c r="M21" s="157">
        <f t="shared" si="3"/>
        <v>3427.8</v>
      </c>
      <c r="N21" s="157">
        <v>3183.4</v>
      </c>
      <c r="O21" s="133">
        <v>80</v>
      </c>
      <c r="P21" s="128"/>
      <c r="Q21" s="128"/>
      <c r="R21" s="130">
        <v>4</v>
      </c>
      <c r="S21" s="157">
        <v>244.4</v>
      </c>
      <c r="T21" s="157"/>
      <c r="U21" s="157"/>
      <c r="V21" s="157"/>
      <c r="W21" s="134" t="s">
        <v>30</v>
      </c>
      <c r="X21" s="134" t="s">
        <v>31</v>
      </c>
      <c r="Y21" s="136" t="s">
        <v>32</v>
      </c>
      <c r="Z21" s="136" t="s">
        <v>32</v>
      </c>
      <c r="AA21" s="136" t="s">
        <v>32</v>
      </c>
      <c r="AB21" s="136" t="s">
        <v>32</v>
      </c>
      <c r="AC21" s="130" t="s">
        <v>33</v>
      </c>
      <c r="AD21" s="130" t="s">
        <v>34</v>
      </c>
      <c r="AE21" s="130" t="s">
        <v>35</v>
      </c>
      <c r="AF21" s="223">
        <v>467</v>
      </c>
      <c r="AG21" s="224">
        <v>366</v>
      </c>
      <c r="AH21" s="201">
        <v>9.05</v>
      </c>
      <c r="AI21" s="179">
        <v>1.04</v>
      </c>
      <c r="AJ21" s="127"/>
      <c r="AK21" s="202">
        <f t="shared" si="2"/>
        <v>10.09</v>
      </c>
    </row>
    <row r="22" spans="1:37" s="47" customFormat="1" ht="15">
      <c r="A22" s="135">
        <v>14</v>
      </c>
      <c r="B22" s="137"/>
      <c r="C22" s="128">
        <v>22</v>
      </c>
      <c r="D22" s="128"/>
      <c r="E22" s="128"/>
      <c r="F22" s="128"/>
      <c r="G22" s="130">
        <v>1968</v>
      </c>
      <c r="H22" s="130" t="s">
        <v>28</v>
      </c>
      <c r="I22" s="130">
        <v>5</v>
      </c>
      <c r="J22" s="130" t="s">
        <v>29</v>
      </c>
      <c r="K22" s="157">
        <f t="shared" si="0"/>
        <v>1363.8931782125858</v>
      </c>
      <c r="L22" s="157">
        <v>13761</v>
      </c>
      <c r="M22" s="157">
        <f t="shared" si="3"/>
        <v>3485.2999999999997</v>
      </c>
      <c r="N22" s="157">
        <v>3236.7</v>
      </c>
      <c r="O22" s="133">
        <v>80</v>
      </c>
      <c r="P22" s="128"/>
      <c r="Q22" s="128"/>
      <c r="R22" s="130">
        <v>4</v>
      </c>
      <c r="S22" s="157">
        <v>248.6</v>
      </c>
      <c r="T22" s="157"/>
      <c r="U22" s="157"/>
      <c r="V22" s="157"/>
      <c r="W22" s="134" t="s">
        <v>30</v>
      </c>
      <c r="X22" s="134" t="s">
        <v>31</v>
      </c>
      <c r="Y22" s="136" t="s">
        <v>32</v>
      </c>
      <c r="Z22" s="136" t="s">
        <v>32</v>
      </c>
      <c r="AA22" s="136" t="s">
        <v>32</v>
      </c>
      <c r="AB22" s="136" t="s">
        <v>32</v>
      </c>
      <c r="AC22" s="130" t="s">
        <v>33</v>
      </c>
      <c r="AD22" s="130" t="s">
        <v>34</v>
      </c>
      <c r="AE22" s="130" t="s">
        <v>35</v>
      </c>
      <c r="AF22" s="223">
        <v>516</v>
      </c>
      <c r="AG22" s="224">
        <v>399</v>
      </c>
      <c r="AH22" s="201">
        <v>9.05</v>
      </c>
      <c r="AI22" s="179">
        <v>1.04</v>
      </c>
      <c r="AJ22" s="127"/>
      <c r="AK22" s="202">
        <f t="shared" si="2"/>
        <v>10.09</v>
      </c>
    </row>
    <row r="23" spans="1:37" s="47" customFormat="1" ht="15">
      <c r="A23" s="135">
        <v>15</v>
      </c>
      <c r="B23" s="137"/>
      <c r="C23" s="128">
        <v>23</v>
      </c>
      <c r="D23" s="128"/>
      <c r="E23" s="128"/>
      <c r="F23" s="128"/>
      <c r="G23" s="130">
        <v>1984</v>
      </c>
      <c r="H23" s="130" t="s">
        <v>28</v>
      </c>
      <c r="I23" s="130">
        <v>5</v>
      </c>
      <c r="J23" s="130" t="s">
        <v>38</v>
      </c>
      <c r="K23" s="157">
        <f>V23</f>
        <v>716</v>
      </c>
      <c r="L23" s="157">
        <v>13145</v>
      </c>
      <c r="M23" s="157">
        <f t="shared" si="3"/>
        <v>3686.1</v>
      </c>
      <c r="N23" s="157">
        <v>3371.1</v>
      </c>
      <c r="O23" s="133">
        <v>70</v>
      </c>
      <c r="P23" s="128"/>
      <c r="Q23" s="128"/>
      <c r="R23" s="130">
        <v>4</v>
      </c>
      <c r="S23" s="157">
        <v>315</v>
      </c>
      <c r="T23" s="157"/>
      <c r="U23" s="157"/>
      <c r="V23" s="157">
        <v>716</v>
      </c>
      <c r="W23" s="134" t="s">
        <v>30</v>
      </c>
      <c r="X23" s="134" t="s">
        <v>31</v>
      </c>
      <c r="Y23" s="136" t="s">
        <v>32</v>
      </c>
      <c r="Z23" s="136" t="s">
        <v>32</v>
      </c>
      <c r="AA23" s="136" t="s">
        <v>32</v>
      </c>
      <c r="AB23" s="136" t="s">
        <v>32</v>
      </c>
      <c r="AC23" s="130" t="s">
        <v>33</v>
      </c>
      <c r="AD23" s="130" t="s">
        <v>34</v>
      </c>
      <c r="AE23" s="130" t="s">
        <v>35</v>
      </c>
      <c r="AF23" s="223">
        <v>516</v>
      </c>
      <c r="AG23" s="224">
        <v>621</v>
      </c>
      <c r="AH23" s="201">
        <v>8.96</v>
      </c>
      <c r="AI23" s="179">
        <v>1.04</v>
      </c>
      <c r="AJ23" s="127"/>
      <c r="AK23" s="202">
        <f t="shared" si="2"/>
        <v>10</v>
      </c>
    </row>
    <row r="24" spans="1:37" s="93" customFormat="1" ht="15">
      <c r="A24" s="139">
        <v>16</v>
      </c>
      <c r="B24" s="140" t="s">
        <v>39</v>
      </c>
      <c r="C24" s="141">
        <v>24</v>
      </c>
      <c r="D24" s="141"/>
      <c r="E24" s="141"/>
      <c r="F24" s="141"/>
      <c r="G24" s="142">
        <v>1978</v>
      </c>
      <c r="H24" s="142" t="s">
        <v>28</v>
      </c>
      <c r="I24" s="142">
        <v>5</v>
      </c>
      <c r="J24" s="142" t="s">
        <v>38</v>
      </c>
      <c r="K24" s="164">
        <v>507.4</v>
      </c>
      <c r="L24" s="164">
        <v>10824</v>
      </c>
      <c r="M24" s="164">
        <f t="shared" si="3"/>
        <v>1958.0300000000002</v>
      </c>
      <c r="N24" s="164">
        <v>1037.43</v>
      </c>
      <c r="O24" s="144">
        <v>84</v>
      </c>
      <c r="P24" s="141"/>
      <c r="Q24" s="141"/>
      <c r="R24" s="142">
        <v>1</v>
      </c>
      <c r="S24" s="164">
        <v>920.6</v>
      </c>
      <c r="T24" s="164"/>
      <c r="U24" s="164"/>
      <c r="V24" s="164">
        <v>507.4</v>
      </c>
      <c r="W24" s="143" t="s">
        <v>30</v>
      </c>
      <c r="X24" s="138" t="s">
        <v>37</v>
      </c>
      <c r="Y24" s="145" t="s">
        <v>32</v>
      </c>
      <c r="Z24" s="145" t="s">
        <v>32</v>
      </c>
      <c r="AA24" s="145" t="s">
        <v>32</v>
      </c>
      <c r="AB24" s="145" t="s">
        <v>32</v>
      </c>
      <c r="AC24" s="142" t="s">
        <v>33</v>
      </c>
      <c r="AD24" s="142" t="s">
        <v>34</v>
      </c>
      <c r="AE24" s="142" t="s">
        <v>35</v>
      </c>
      <c r="AF24" s="225">
        <v>513</v>
      </c>
      <c r="AG24" s="226">
        <v>1052</v>
      </c>
      <c r="AH24" s="212">
        <v>27.27</v>
      </c>
      <c r="AI24" s="180">
        <v>1.04</v>
      </c>
      <c r="AJ24" s="180"/>
      <c r="AK24" s="203">
        <f t="shared" si="2"/>
        <v>28.31</v>
      </c>
    </row>
    <row r="25" spans="1:37" s="47" customFormat="1" ht="15">
      <c r="A25" s="135">
        <v>17</v>
      </c>
      <c r="B25" s="137"/>
      <c r="C25" s="128">
        <v>25</v>
      </c>
      <c r="D25" s="128"/>
      <c r="E25" s="128"/>
      <c r="F25" s="128"/>
      <c r="G25" s="130">
        <v>1991</v>
      </c>
      <c r="H25" s="130" t="s">
        <v>28</v>
      </c>
      <c r="I25" s="130">
        <v>5</v>
      </c>
      <c r="J25" s="130" t="s">
        <v>38</v>
      </c>
      <c r="K25" s="157">
        <f>V25</f>
        <v>868.6</v>
      </c>
      <c r="L25" s="157">
        <v>15696</v>
      </c>
      <c r="M25" s="157">
        <f t="shared" si="3"/>
        <v>4176.8</v>
      </c>
      <c r="N25" s="157">
        <v>3709.3</v>
      </c>
      <c r="O25" s="133">
        <v>60</v>
      </c>
      <c r="P25" s="128"/>
      <c r="Q25" s="128"/>
      <c r="R25" s="130">
        <v>6</v>
      </c>
      <c r="S25" s="157">
        <v>467.5</v>
      </c>
      <c r="T25" s="157"/>
      <c r="U25" s="157"/>
      <c r="V25" s="157">
        <v>868.6</v>
      </c>
      <c r="W25" s="134" t="s">
        <v>30</v>
      </c>
      <c r="X25" s="138" t="s">
        <v>37</v>
      </c>
      <c r="Y25" s="136" t="s">
        <v>32</v>
      </c>
      <c r="Z25" s="136" t="s">
        <v>32</v>
      </c>
      <c r="AA25" s="136" t="s">
        <v>32</v>
      </c>
      <c r="AB25" s="136" t="s">
        <v>32</v>
      </c>
      <c r="AC25" s="130" t="s">
        <v>33</v>
      </c>
      <c r="AD25" s="130" t="s">
        <v>34</v>
      </c>
      <c r="AE25" s="130" t="s">
        <v>35</v>
      </c>
      <c r="AF25" s="223">
        <v>1235</v>
      </c>
      <c r="AG25" s="224">
        <v>875</v>
      </c>
      <c r="AH25" s="201">
        <v>9.53</v>
      </c>
      <c r="AI25" s="179">
        <v>1.04</v>
      </c>
      <c r="AJ25" s="127"/>
      <c r="AK25" s="202">
        <f t="shared" si="2"/>
        <v>10.57</v>
      </c>
    </row>
    <row r="26" spans="1:37" s="47" customFormat="1" ht="15">
      <c r="A26" s="135">
        <v>18</v>
      </c>
      <c r="B26" s="137"/>
      <c r="C26" s="128">
        <v>26</v>
      </c>
      <c r="D26" s="128"/>
      <c r="E26" s="128"/>
      <c r="F26" s="128"/>
      <c r="G26" s="130">
        <v>1979</v>
      </c>
      <c r="H26" s="130" t="s">
        <v>28</v>
      </c>
      <c r="I26" s="130">
        <v>5</v>
      </c>
      <c r="J26" s="130" t="s">
        <v>38</v>
      </c>
      <c r="K26" s="157">
        <f>V26</f>
        <v>1010.9</v>
      </c>
      <c r="L26" s="157">
        <v>17490</v>
      </c>
      <c r="M26" s="157">
        <f t="shared" si="3"/>
        <v>4930.900000000001</v>
      </c>
      <c r="N26" s="157">
        <v>4446.3</v>
      </c>
      <c r="O26" s="133">
        <v>100</v>
      </c>
      <c r="P26" s="128"/>
      <c r="Q26" s="128"/>
      <c r="R26" s="130">
        <v>6</v>
      </c>
      <c r="S26" s="157">
        <v>484.6</v>
      </c>
      <c r="T26" s="157"/>
      <c r="U26" s="157"/>
      <c r="V26" s="157">
        <v>1010.9</v>
      </c>
      <c r="W26" s="134" t="s">
        <v>30</v>
      </c>
      <c r="X26" s="134" t="s">
        <v>31</v>
      </c>
      <c r="Y26" s="136" t="s">
        <v>32</v>
      </c>
      <c r="Z26" s="136" t="s">
        <v>32</v>
      </c>
      <c r="AA26" s="136" t="s">
        <v>32</v>
      </c>
      <c r="AB26" s="136" t="s">
        <v>32</v>
      </c>
      <c r="AC26" s="130" t="s">
        <v>33</v>
      </c>
      <c r="AD26" s="130" t="s">
        <v>34</v>
      </c>
      <c r="AE26" s="130" t="s">
        <v>35</v>
      </c>
      <c r="AF26" s="223">
        <v>867</v>
      </c>
      <c r="AG26" s="224">
        <v>893</v>
      </c>
      <c r="AH26" s="201">
        <v>8.96</v>
      </c>
      <c r="AI26" s="179">
        <v>1.04</v>
      </c>
      <c r="AJ26" s="127"/>
      <c r="AK26" s="202">
        <f t="shared" si="2"/>
        <v>10</v>
      </c>
    </row>
    <row r="27" spans="1:37" s="47" customFormat="1" ht="15">
      <c r="A27" s="135">
        <v>19</v>
      </c>
      <c r="B27" s="137"/>
      <c r="C27" s="128">
        <v>27</v>
      </c>
      <c r="D27" s="128"/>
      <c r="E27" s="128"/>
      <c r="F27" s="128"/>
      <c r="G27" s="130">
        <v>1984</v>
      </c>
      <c r="H27" s="130" t="s">
        <v>28</v>
      </c>
      <c r="I27" s="130">
        <v>5</v>
      </c>
      <c r="J27" s="130" t="s">
        <v>38</v>
      </c>
      <c r="K27" s="157">
        <f>V27</f>
        <v>1021.3</v>
      </c>
      <c r="L27" s="157">
        <v>17831</v>
      </c>
      <c r="M27" s="157">
        <f t="shared" si="3"/>
        <v>5080.5</v>
      </c>
      <c r="N27" s="157">
        <v>4637.5</v>
      </c>
      <c r="O27" s="133">
        <v>100</v>
      </c>
      <c r="P27" s="128"/>
      <c r="Q27" s="128"/>
      <c r="R27" s="130">
        <v>6</v>
      </c>
      <c r="S27" s="157">
        <v>443</v>
      </c>
      <c r="T27" s="157"/>
      <c r="U27" s="157"/>
      <c r="V27" s="157">
        <v>1021.3</v>
      </c>
      <c r="W27" s="134" t="s">
        <v>30</v>
      </c>
      <c r="X27" s="134" t="s">
        <v>31</v>
      </c>
      <c r="Y27" s="136" t="s">
        <v>32</v>
      </c>
      <c r="Z27" s="136" t="s">
        <v>32</v>
      </c>
      <c r="AA27" s="136" t="s">
        <v>32</v>
      </c>
      <c r="AB27" s="136" t="s">
        <v>32</v>
      </c>
      <c r="AC27" s="130" t="s">
        <v>33</v>
      </c>
      <c r="AD27" s="130" t="s">
        <v>34</v>
      </c>
      <c r="AE27" s="130" t="s">
        <v>35</v>
      </c>
      <c r="AF27" s="223">
        <v>857</v>
      </c>
      <c r="AG27" s="224">
        <v>876</v>
      </c>
      <c r="AH27" s="201">
        <v>8.96</v>
      </c>
      <c r="AI27" s="179">
        <v>1.04</v>
      </c>
      <c r="AJ27" s="127"/>
      <c r="AK27" s="202">
        <f t="shared" si="2"/>
        <v>10</v>
      </c>
    </row>
    <row r="28" spans="1:37" s="47" customFormat="1" ht="15">
      <c r="A28" s="135">
        <v>20</v>
      </c>
      <c r="B28" s="137"/>
      <c r="C28" s="128">
        <v>29</v>
      </c>
      <c r="D28" s="128"/>
      <c r="E28" s="128"/>
      <c r="F28" s="128"/>
      <c r="G28" s="130">
        <v>1975</v>
      </c>
      <c r="H28" s="130" t="s">
        <v>28</v>
      </c>
      <c r="I28" s="130">
        <v>5</v>
      </c>
      <c r="J28" s="130" t="s">
        <v>29</v>
      </c>
      <c r="K28" s="157">
        <f>M28*1110/2836.5</f>
        <v>1913.39502908514</v>
      </c>
      <c r="L28" s="157">
        <v>18245</v>
      </c>
      <c r="M28" s="157">
        <f t="shared" si="3"/>
        <v>4889.5</v>
      </c>
      <c r="N28" s="157">
        <v>4492.5</v>
      </c>
      <c r="O28" s="133">
        <v>100</v>
      </c>
      <c r="P28" s="128"/>
      <c r="Q28" s="128"/>
      <c r="R28" s="130">
        <v>6</v>
      </c>
      <c r="S28" s="157">
        <v>397</v>
      </c>
      <c r="T28" s="157"/>
      <c r="U28" s="157"/>
      <c r="V28" s="157">
        <v>945.9</v>
      </c>
      <c r="W28" s="134" t="s">
        <v>30</v>
      </c>
      <c r="X28" s="134" t="s">
        <v>31</v>
      </c>
      <c r="Y28" s="136" t="s">
        <v>32</v>
      </c>
      <c r="Z28" s="136" t="s">
        <v>32</v>
      </c>
      <c r="AA28" s="136" t="s">
        <v>32</v>
      </c>
      <c r="AB28" s="136" t="s">
        <v>32</v>
      </c>
      <c r="AC28" s="130" t="s">
        <v>33</v>
      </c>
      <c r="AD28" s="130" t="s">
        <v>34</v>
      </c>
      <c r="AE28" s="130" t="s">
        <v>35</v>
      </c>
      <c r="AF28" s="223">
        <v>857</v>
      </c>
      <c r="AG28" s="224">
        <v>876</v>
      </c>
      <c r="AH28" s="201">
        <v>8.96</v>
      </c>
      <c r="AI28" s="179">
        <v>1.04</v>
      </c>
      <c r="AJ28" s="127"/>
      <c r="AK28" s="202">
        <f t="shared" si="2"/>
        <v>10</v>
      </c>
    </row>
    <row r="29" spans="1:37" s="47" customFormat="1" ht="15">
      <c r="A29" s="135">
        <v>21</v>
      </c>
      <c r="B29" s="137"/>
      <c r="C29" s="128">
        <v>30</v>
      </c>
      <c r="D29" s="128"/>
      <c r="E29" s="128"/>
      <c r="F29" s="128"/>
      <c r="G29" s="130">
        <v>1973</v>
      </c>
      <c r="H29" s="130" t="s">
        <v>28</v>
      </c>
      <c r="I29" s="130">
        <v>5</v>
      </c>
      <c r="J29" s="130" t="s">
        <v>29</v>
      </c>
      <c r="K29" s="157">
        <f>M29*1110/2836.5</f>
        <v>1906.8207297726071</v>
      </c>
      <c r="L29" s="157">
        <v>17665</v>
      </c>
      <c r="M29" s="157">
        <f t="shared" si="3"/>
        <v>4872.7</v>
      </c>
      <c r="N29" s="157">
        <v>4471.3</v>
      </c>
      <c r="O29" s="133">
        <v>101</v>
      </c>
      <c r="P29" s="128"/>
      <c r="Q29" s="128"/>
      <c r="R29" s="130">
        <v>6</v>
      </c>
      <c r="S29" s="157">
        <v>401.4</v>
      </c>
      <c r="T29" s="157"/>
      <c r="U29" s="157"/>
      <c r="V29" s="157">
        <v>975.1</v>
      </c>
      <c r="W29" s="134" t="s">
        <v>30</v>
      </c>
      <c r="X29" s="134" t="s">
        <v>31</v>
      </c>
      <c r="Y29" s="136" t="s">
        <v>32</v>
      </c>
      <c r="Z29" s="136" t="s">
        <v>32</v>
      </c>
      <c r="AA29" s="136" t="s">
        <v>32</v>
      </c>
      <c r="AB29" s="136" t="s">
        <v>32</v>
      </c>
      <c r="AC29" s="130" t="s">
        <v>33</v>
      </c>
      <c r="AD29" s="130" t="s">
        <v>34</v>
      </c>
      <c r="AE29" s="130" t="s">
        <v>35</v>
      </c>
      <c r="AF29" s="223">
        <v>857</v>
      </c>
      <c r="AG29" s="224">
        <v>628</v>
      </c>
      <c r="AH29" s="201">
        <v>9.15</v>
      </c>
      <c r="AI29" s="179">
        <v>1.04</v>
      </c>
      <c r="AJ29" s="127"/>
      <c r="AK29" s="202">
        <f t="shared" si="2"/>
        <v>10.190000000000001</v>
      </c>
    </row>
    <row r="30" spans="1:37" s="47" customFormat="1" ht="15">
      <c r="A30" s="135">
        <v>22</v>
      </c>
      <c r="B30" s="137"/>
      <c r="C30" s="128">
        <v>31</v>
      </c>
      <c r="D30" s="128"/>
      <c r="E30" s="128"/>
      <c r="F30" s="128"/>
      <c r="G30" s="130">
        <v>1969</v>
      </c>
      <c r="H30" s="130" t="s">
        <v>28</v>
      </c>
      <c r="I30" s="130">
        <v>5</v>
      </c>
      <c r="J30" s="130" t="s">
        <v>29</v>
      </c>
      <c r="K30" s="157">
        <f>M30*1110/2836.5</f>
        <v>1318.2644103648863</v>
      </c>
      <c r="L30" s="157">
        <v>12046</v>
      </c>
      <c r="M30" s="157">
        <f t="shared" si="3"/>
        <v>3368.7</v>
      </c>
      <c r="N30" s="157">
        <v>3128.7</v>
      </c>
      <c r="O30" s="133">
        <v>80</v>
      </c>
      <c r="P30" s="128"/>
      <c r="Q30" s="128"/>
      <c r="R30" s="130">
        <v>4</v>
      </c>
      <c r="S30" s="157">
        <v>240</v>
      </c>
      <c r="T30" s="157"/>
      <c r="U30" s="157"/>
      <c r="V30" s="157">
        <v>679.3</v>
      </c>
      <c r="W30" s="134" t="s">
        <v>30</v>
      </c>
      <c r="X30" s="134" t="s">
        <v>31</v>
      </c>
      <c r="Y30" s="136" t="s">
        <v>32</v>
      </c>
      <c r="Z30" s="136" t="s">
        <v>32</v>
      </c>
      <c r="AA30" s="136" t="s">
        <v>32</v>
      </c>
      <c r="AB30" s="136" t="s">
        <v>32</v>
      </c>
      <c r="AC30" s="130" t="s">
        <v>33</v>
      </c>
      <c r="AD30" s="130" t="s">
        <v>34</v>
      </c>
      <c r="AE30" s="130" t="s">
        <v>35</v>
      </c>
      <c r="AF30" s="223">
        <v>498</v>
      </c>
      <c r="AG30" s="224">
        <v>460</v>
      </c>
      <c r="AH30" s="201">
        <v>9.15</v>
      </c>
      <c r="AI30" s="179">
        <v>1.04</v>
      </c>
      <c r="AJ30" s="127"/>
      <c r="AK30" s="202">
        <f t="shared" si="2"/>
        <v>10.190000000000001</v>
      </c>
    </row>
    <row r="31" spans="1:37" s="47" customFormat="1" ht="15">
      <c r="A31" s="135">
        <v>23</v>
      </c>
      <c r="B31" s="137"/>
      <c r="C31" s="128">
        <v>34</v>
      </c>
      <c r="D31" s="128"/>
      <c r="E31" s="128"/>
      <c r="F31" s="128"/>
      <c r="G31" s="130">
        <v>1966</v>
      </c>
      <c r="H31" s="130" t="s">
        <v>28</v>
      </c>
      <c r="I31" s="130">
        <v>5</v>
      </c>
      <c r="J31" s="130" t="s">
        <v>29</v>
      </c>
      <c r="K31" s="157">
        <f>M31*1110/2836.5</f>
        <v>1333.2522474881016</v>
      </c>
      <c r="L31" s="157">
        <v>13531</v>
      </c>
      <c r="M31" s="160">
        <f t="shared" si="3"/>
        <v>3407</v>
      </c>
      <c r="N31" s="157">
        <v>3165</v>
      </c>
      <c r="O31" s="133">
        <v>80</v>
      </c>
      <c r="P31" s="128"/>
      <c r="Q31" s="128"/>
      <c r="R31" s="130">
        <v>4</v>
      </c>
      <c r="S31" s="157">
        <v>242</v>
      </c>
      <c r="T31" s="157"/>
      <c r="U31" s="157"/>
      <c r="V31" s="157">
        <v>679.3</v>
      </c>
      <c r="W31" s="134" t="s">
        <v>30</v>
      </c>
      <c r="X31" s="134" t="s">
        <v>31</v>
      </c>
      <c r="Y31" s="136" t="s">
        <v>32</v>
      </c>
      <c r="Z31" s="136" t="s">
        <v>32</v>
      </c>
      <c r="AA31" s="136" t="s">
        <v>32</v>
      </c>
      <c r="AB31" s="136" t="s">
        <v>32</v>
      </c>
      <c r="AC31" s="130" t="s">
        <v>33</v>
      </c>
      <c r="AD31" s="130" t="s">
        <v>34</v>
      </c>
      <c r="AE31" s="130" t="s">
        <v>35</v>
      </c>
      <c r="AF31" s="223">
        <v>504</v>
      </c>
      <c r="AG31" s="224">
        <v>936</v>
      </c>
      <c r="AH31" s="201">
        <v>9.15</v>
      </c>
      <c r="AI31" s="179">
        <v>1.04</v>
      </c>
      <c r="AJ31" s="127"/>
      <c r="AK31" s="202">
        <f t="shared" si="2"/>
        <v>10.190000000000001</v>
      </c>
    </row>
    <row r="32" spans="1:37" s="47" customFormat="1" ht="15">
      <c r="A32" s="135">
        <v>24</v>
      </c>
      <c r="B32" s="137"/>
      <c r="C32" s="128">
        <v>37</v>
      </c>
      <c r="D32" s="128"/>
      <c r="E32" s="128"/>
      <c r="F32" s="128"/>
      <c r="G32" s="130">
        <v>1964</v>
      </c>
      <c r="H32" s="130" t="s">
        <v>28</v>
      </c>
      <c r="I32" s="130">
        <v>5</v>
      </c>
      <c r="J32" s="130" t="s">
        <v>29</v>
      </c>
      <c r="K32" s="157">
        <f>M32*1110/2836.5</f>
        <v>1354.5013220518244</v>
      </c>
      <c r="L32" s="157">
        <v>12801</v>
      </c>
      <c r="M32" s="157">
        <f t="shared" si="3"/>
        <v>3461.3</v>
      </c>
      <c r="N32" s="157">
        <v>3219.3</v>
      </c>
      <c r="O32" s="133">
        <v>81</v>
      </c>
      <c r="P32" s="128"/>
      <c r="Q32" s="128"/>
      <c r="R32" s="130">
        <v>4</v>
      </c>
      <c r="S32" s="232">
        <v>242</v>
      </c>
      <c r="T32" s="157"/>
      <c r="U32" s="157"/>
      <c r="V32" s="157">
        <v>673.4</v>
      </c>
      <c r="W32" s="134" t="s">
        <v>30</v>
      </c>
      <c r="X32" s="134" t="s">
        <v>31</v>
      </c>
      <c r="Y32" s="136" t="s">
        <v>32</v>
      </c>
      <c r="Z32" s="136" t="s">
        <v>32</v>
      </c>
      <c r="AA32" s="136" t="s">
        <v>32</v>
      </c>
      <c r="AB32" s="136" t="s">
        <v>32</v>
      </c>
      <c r="AC32" s="130" t="s">
        <v>33</v>
      </c>
      <c r="AD32" s="130" t="s">
        <v>34</v>
      </c>
      <c r="AE32" s="130" t="s">
        <v>35</v>
      </c>
      <c r="AF32" s="223">
        <v>497</v>
      </c>
      <c r="AG32" s="224">
        <v>590</v>
      </c>
      <c r="AH32" s="201">
        <v>9.15</v>
      </c>
      <c r="AI32" s="179">
        <v>1.04</v>
      </c>
      <c r="AJ32" s="127"/>
      <c r="AK32" s="202">
        <f t="shared" si="2"/>
        <v>10.190000000000001</v>
      </c>
    </row>
    <row r="33" spans="1:37" s="47" customFormat="1" ht="15.75" thickBot="1">
      <c r="A33" s="135">
        <v>25</v>
      </c>
      <c r="B33" s="137"/>
      <c r="C33" s="128">
        <v>38</v>
      </c>
      <c r="D33" s="128"/>
      <c r="E33" s="128"/>
      <c r="F33" s="128"/>
      <c r="G33" s="130">
        <v>1983</v>
      </c>
      <c r="H33" s="130" t="s">
        <v>28</v>
      </c>
      <c r="I33" s="130">
        <v>2</v>
      </c>
      <c r="J33" s="130" t="s">
        <v>38</v>
      </c>
      <c r="K33" s="157">
        <f>V33</f>
        <v>337.4</v>
      </c>
      <c r="L33" s="157">
        <v>2627</v>
      </c>
      <c r="M33" s="157">
        <f t="shared" si="3"/>
        <v>643.5</v>
      </c>
      <c r="N33" s="157">
        <v>589.5</v>
      </c>
      <c r="O33" s="133">
        <v>12</v>
      </c>
      <c r="P33" s="128"/>
      <c r="Q33" s="128"/>
      <c r="R33" s="130">
        <v>2</v>
      </c>
      <c r="S33" s="157">
        <v>54</v>
      </c>
      <c r="T33" s="157"/>
      <c r="U33" s="157"/>
      <c r="V33" s="157">
        <v>337.4</v>
      </c>
      <c r="W33" s="134" t="s">
        <v>30</v>
      </c>
      <c r="X33" s="134" t="s">
        <v>31</v>
      </c>
      <c r="Y33" s="136" t="s">
        <v>32</v>
      </c>
      <c r="Z33" s="136" t="s">
        <v>32</v>
      </c>
      <c r="AA33" s="136" t="s">
        <v>32</v>
      </c>
      <c r="AB33" s="136" t="s">
        <v>52</v>
      </c>
      <c r="AC33" s="130" t="s">
        <v>33</v>
      </c>
      <c r="AD33" s="130" t="s">
        <v>34</v>
      </c>
      <c r="AE33" s="130" t="s">
        <v>35</v>
      </c>
      <c r="AF33" s="223">
        <v>349</v>
      </c>
      <c r="AG33" s="224">
        <v>96</v>
      </c>
      <c r="AH33" s="201">
        <v>7.79</v>
      </c>
      <c r="AI33" s="179">
        <v>1.04</v>
      </c>
      <c r="AJ33" s="127"/>
      <c r="AK33" s="202">
        <f t="shared" si="2"/>
        <v>8.83</v>
      </c>
    </row>
    <row r="34" spans="1:37" ht="15">
      <c r="A34" s="105">
        <v>1</v>
      </c>
      <c r="B34" s="105">
        <v>2</v>
      </c>
      <c r="C34" s="105">
        <v>3</v>
      </c>
      <c r="D34" s="105"/>
      <c r="E34" s="105"/>
      <c r="F34" s="105"/>
      <c r="G34" s="105">
        <v>4</v>
      </c>
      <c r="H34" s="105">
        <v>5</v>
      </c>
      <c r="I34" s="105">
        <v>6</v>
      </c>
      <c r="J34" s="105">
        <v>7</v>
      </c>
      <c r="K34" s="105">
        <v>8</v>
      </c>
      <c r="L34" s="105">
        <v>9</v>
      </c>
      <c r="M34" s="105">
        <v>9</v>
      </c>
      <c r="N34" s="105">
        <v>10</v>
      </c>
      <c r="O34" s="105">
        <v>11</v>
      </c>
      <c r="P34" s="105">
        <v>13</v>
      </c>
      <c r="Q34" s="105">
        <v>14</v>
      </c>
      <c r="R34" s="105">
        <v>12</v>
      </c>
      <c r="S34" s="105">
        <v>13</v>
      </c>
      <c r="T34" s="105"/>
      <c r="U34" s="105">
        <v>14</v>
      </c>
      <c r="V34" s="105">
        <v>15</v>
      </c>
      <c r="W34" s="105">
        <v>16</v>
      </c>
      <c r="X34" s="105">
        <v>17</v>
      </c>
      <c r="Y34" s="105">
        <v>18</v>
      </c>
      <c r="Z34" s="105">
        <v>19</v>
      </c>
      <c r="AA34" s="105">
        <v>20</v>
      </c>
      <c r="AB34" s="105">
        <v>21</v>
      </c>
      <c r="AC34" s="105">
        <v>22</v>
      </c>
      <c r="AD34" s="105">
        <v>23</v>
      </c>
      <c r="AE34" s="105">
        <v>24</v>
      </c>
      <c r="AF34" s="105">
        <v>25</v>
      </c>
      <c r="AG34" s="175">
        <v>26</v>
      </c>
      <c r="AH34" s="187">
        <v>28</v>
      </c>
      <c r="AI34" s="188">
        <v>29</v>
      </c>
      <c r="AJ34" s="189">
        <v>30</v>
      </c>
      <c r="AK34" s="195">
        <v>31</v>
      </c>
    </row>
    <row r="35" spans="1:37" s="47" customFormat="1" ht="15">
      <c r="A35" s="135">
        <v>26</v>
      </c>
      <c r="B35" s="127" t="s">
        <v>27</v>
      </c>
      <c r="C35" s="128">
        <v>39</v>
      </c>
      <c r="D35" s="128"/>
      <c r="E35" s="128"/>
      <c r="F35" s="128"/>
      <c r="G35" s="130">
        <v>1983</v>
      </c>
      <c r="H35" s="130" t="s">
        <v>28</v>
      </c>
      <c r="I35" s="130">
        <v>2</v>
      </c>
      <c r="J35" s="130" t="s">
        <v>38</v>
      </c>
      <c r="K35" s="157">
        <f>V35</f>
        <v>300.6</v>
      </c>
      <c r="L35" s="157">
        <v>2466</v>
      </c>
      <c r="M35" s="157">
        <f>N35+S35</f>
        <v>613.9</v>
      </c>
      <c r="N35" s="157">
        <v>564.3</v>
      </c>
      <c r="O35" s="133">
        <v>12</v>
      </c>
      <c r="P35" s="128"/>
      <c r="Q35" s="128"/>
      <c r="R35" s="130">
        <v>2</v>
      </c>
      <c r="S35" s="157">
        <v>49.6</v>
      </c>
      <c r="T35" s="157"/>
      <c r="U35" s="157">
        <v>300.6</v>
      </c>
      <c r="V35" s="157">
        <v>300.6</v>
      </c>
      <c r="W35" s="134" t="s">
        <v>30</v>
      </c>
      <c r="X35" s="134" t="s">
        <v>31</v>
      </c>
      <c r="Y35" s="136" t="s">
        <v>32</v>
      </c>
      <c r="Z35" s="136" t="s">
        <v>32</v>
      </c>
      <c r="AA35" s="136" t="s">
        <v>32</v>
      </c>
      <c r="AB35" s="136" t="s">
        <v>52</v>
      </c>
      <c r="AC35" s="130" t="s">
        <v>33</v>
      </c>
      <c r="AD35" s="130" t="s">
        <v>34</v>
      </c>
      <c r="AE35" s="130" t="s">
        <v>35</v>
      </c>
      <c r="AF35" s="223">
        <v>349</v>
      </c>
      <c r="AG35" s="224">
        <v>96</v>
      </c>
      <c r="AH35" s="209">
        <v>7.93</v>
      </c>
      <c r="AI35" s="185">
        <v>1.04</v>
      </c>
      <c r="AJ35" s="186"/>
      <c r="AK35" s="204">
        <f t="shared" si="2"/>
        <v>8.969999999999999</v>
      </c>
    </row>
    <row r="36" spans="1:37" s="47" customFormat="1" ht="15">
      <c r="A36" s="135">
        <v>27</v>
      </c>
      <c r="B36" s="137"/>
      <c r="C36" s="128">
        <v>40</v>
      </c>
      <c r="D36" s="128"/>
      <c r="E36" s="128"/>
      <c r="F36" s="128"/>
      <c r="G36" s="130">
        <v>1985</v>
      </c>
      <c r="H36" s="130" t="s">
        <v>28</v>
      </c>
      <c r="I36" s="130">
        <v>2</v>
      </c>
      <c r="J36" s="130" t="s">
        <v>38</v>
      </c>
      <c r="K36" s="157">
        <f>V36</f>
        <v>337.4</v>
      </c>
      <c r="L36" s="157">
        <v>1054</v>
      </c>
      <c r="M36" s="157">
        <f>N36+S36</f>
        <v>652.7</v>
      </c>
      <c r="N36" s="157">
        <v>603.1</v>
      </c>
      <c r="O36" s="133">
        <v>12</v>
      </c>
      <c r="P36" s="128"/>
      <c r="Q36" s="128"/>
      <c r="R36" s="130">
        <v>2</v>
      </c>
      <c r="S36" s="157">
        <v>49.6</v>
      </c>
      <c r="T36" s="157"/>
      <c r="U36" s="157"/>
      <c r="V36" s="157">
        <v>337.4</v>
      </c>
      <c r="W36" s="134" t="s">
        <v>30</v>
      </c>
      <c r="X36" s="134" t="s">
        <v>31</v>
      </c>
      <c r="Y36" s="136" t="s">
        <v>32</v>
      </c>
      <c r="Z36" s="136" t="s">
        <v>32</v>
      </c>
      <c r="AA36" s="136" t="s">
        <v>32</v>
      </c>
      <c r="AB36" s="136" t="s">
        <v>52</v>
      </c>
      <c r="AC36" s="130" t="s">
        <v>33</v>
      </c>
      <c r="AD36" s="130" t="s">
        <v>34</v>
      </c>
      <c r="AE36" s="130" t="s">
        <v>35</v>
      </c>
      <c r="AF36" s="223">
        <v>349</v>
      </c>
      <c r="AG36" s="224">
        <v>96</v>
      </c>
      <c r="AH36" s="207">
        <v>7.79</v>
      </c>
      <c r="AI36" s="179">
        <v>1.04</v>
      </c>
      <c r="AJ36" s="127"/>
      <c r="AK36" s="202">
        <f t="shared" si="2"/>
        <v>8.83</v>
      </c>
    </row>
    <row r="37" spans="1:37" ht="15">
      <c r="A37" s="135">
        <v>28</v>
      </c>
      <c r="B37" s="137"/>
      <c r="C37" s="128">
        <v>41</v>
      </c>
      <c r="D37" s="128"/>
      <c r="E37" s="128"/>
      <c r="F37" s="128"/>
      <c r="G37" s="130">
        <v>1983</v>
      </c>
      <c r="H37" s="130" t="s">
        <v>28</v>
      </c>
      <c r="I37" s="130">
        <v>2</v>
      </c>
      <c r="J37" s="130" t="s">
        <v>38</v>
      </c>
      <c r="K37" s="157">
        <f>M37*489/777.2</f>
        <v>578.3437982501287</v>
      </c>
      <c r="L37" s="157">
        <f>M37*L36/M36</f>
        <v>1484.3523824115214</v>
      </c>
      <c r="M37" s="157">
        <v>919.2</v>
      </c>
      <c r="N37" s="158">
        <v>568.6</v>
      </c>
      <c r="O37" s="133">
        <v>12</v>
      </c>
      <c r="P37" s="128"/>
      <c r="Q37" s="128"/>
      <c r="R37" s="130">
        <v>2</v>
      </c>
      <c r="S37" s="157">
        <v>50.3</v>
      </c>
      <c r="T37" s="157"/>
      <c r="U37" s="161"/>
      <c r="V37" s="160">
        <v>850</v>
      </c>
      <c r="W37" s="134" t="s">
        <v>30</v>
      </c>
      <c r="X37" s="134" t="s">
        <v>31</v>
      </c>
      <c r="Y37" s="136" t="s">
        <v>32</v>
      </c>
      <c r="Z37" s="136" t="s">
        <v>32</v>
      </c>
      <c r="AA37" s="136" t="s">
        <v>32</v>
      </c>
      <c r="AB37" s="136" t="s">
        <v>52</v>
      </c>
      <c r="AC37" s="130" t="s">
        <v>33</v>
      </c>
      <c r="AD37" s="130" t="s">
        <v>34</v>
      </c>
      <c r="AE37" s="130" t="s">
        <v>35</v>
      </c>
      <c r="AF37" s="223">
        <v>349</v>
      </c>
      <c r="AG37" s="224">
        <v>96</v>
      </c>
      <c r="AH37" s="210">
        <v>7.79</v>
      </c>
      <c r="AI37" s="179">
        <v>1.04</v>
      </c>
      <c r="AJ37" s="179"/>
      <c r="AK37" s="202">
        <f t="shared" si="2"/>
        <v>8.83</v>
      </c>
    </row>
    <row r="38" spans="1:37" s="47" customFormat="1" ht="15">
      <c r="A38" s="135">
        <v>29</v>
      </c>
      <c r="B38" s="137"/>
      <c r="C38" s="128">
        <v>42</v>
      </c>
      <c r="D38" s="128"/>
      <c r="E38" s="128"/>
      <c r="F38" s="128"/>
      <c r="G38" s="130">
        <v>1985</v>
      </c>
      <c r="H38" s="130" t="s">
        <v>28</v>
      </c>
      <c r="I38" s="130">
        <v>2</v>
      </c>
      <c r="J38" s="130" t="s">
        <v>38</v>
      </c>
      <c r="K38" s="157">
        <f>V38</f>
        <v>296.59999999999997</v>
      </c>
      <c r="L38" s="157">
        <v>2674</v>
      </c>
      <c r="M38" s="157">
        <f>N38+S38</f>
        <v>643.9</v>
      </c>
      <c r="N38" s="157">
        <v>593.6</v>
      </c>
      <c r="O38" s="133">
        <v>12</v>
      </c>
      <c r="P38" s="128"/>
      <c r="Q38" s="128"/>
      <c r="R38" s="130">
        <v>2</v>
      </c>
      <c r="S38" s="157">
        <v>50.3</v>
      </c>
      <c r="T38" s="157"/>
      <c r="U38" s="157"/>
      <c r="V38" s="157">
        <f>50.6+2.9+12.1+62.2+61.7+51.7+12.1+43.3</f>
        <v>296.59999999999997</v>
      </c>
      <c r="W38" s="134" t="s">
        <v>30</v>
      </c>
      <c r="X38" s="134" t="s">
        <v>31</v>
      </c>
      <c r="Y38" s="136" t="s">
        <v>32</v>
      </c>
      <c r="Z38" s="136" t="s">
        <v>32</v>
      </c>
      <c r="AA38" s="136" t="s">
        <v>32</v>
      </c>
      <c r="AB38" s="136" t="s">
        <v>52</v>
      </c>
      <c r="AC38" s="130" t="s">
        <v>33</v>
      </c>
      <c r="AD38" s="130" t="s">
        <v>34</v>
      </c>
      <c r="AE38" s="130" t="s">
        <v>35</v>
      </c>
      <c r="AF38" s="223">
        <v>349</v>
      </c>
      <c r="AG38" s="224">
        <v>96</v>
      </c>
      <c r="AH38" s="210">
        <v>7.79</v>
      </c>
      <c r="AI38" s="179">
        <v>1.04</v>
      </c>
      <c r="AJ38" s="127"/>
      <c r="AK38" s="202">
        <f t="shared" si="2"/>
        <v>8.83</v>
      </c>
    </row>
    <row r="39" spans="1:37" s="47" customFormat="1" ht="15">
      <c r="A39" s="135">
        <v>30</v>
      </c>
      <c r="B39" s="137"/>
      <c r="C39" s="128">
        <v>43</v>
      </c>
      <c r="D39" s="128"/>
      <c r="E39" s="128"/>
      <c r="F39" s="128"/>
      <c r="G39" s="130">
        <v>2001</v>
      </c>
      <c r="H39" s="130" t="s">
        <v>28</v>
      </c>
      <c r="I39" s="130">
        <v>5</v>
      </c>
      <c r="J39" s="130" t="s">
        <v>40</v>
      </c>
      <c r="K39" s="157">
        <f>M39*1110/2836.5</f>
        <v>1215.1496562665257</v>
      </c>
      <c r="L39" s="157">
        <v>14665</v>
      </c>
      <c r="M39" s="157">
        <f>N39+S39</f>
        <v>3105.2</v>
      </c>
      <c r="N39" s="157">
        <v>2755</v>
      </c>
      <c r="O39" s="133">
        <v>30</v>
      </c>
      <c r="P39" s="128"/>
      <c r="Q39" s="128"/>
      <c r="R39" s="130">
        <v>3</v>
      </c>
      <c r="S39" s="157">
        <v>350.2</v>
      </c>
      <c r="T39" s="157"/>
      <c r="U39" s="157"/>
      <c r="V39" s="157">
        <v>599.3</v>
      </c>
      <c r="W39" s="134" t="s">
        <v>30</v>
      </c>
      <c r="X39" s="134" t="s">
        <v>31</v>
      </c>
      <c r="Y39" s="136" t="s">
        <v>32</v>
      </c>
      <c r="Z39" s="136" t="s">
        <v>32</v>
      </c>
      <c r="AA39" s="136" t="s">
        <v>32</v>
      </c>
      <c r="AB39" s="136" t="s">
        <v>32</v>
      </c>
      <c r="AC39" s="130" t="s">
        <v>33</v>
      </c>
      <c r="AD39" s="130" t="s">
        <v>34</v>
      </c>
      <c r="AE39" s="130" t="s">
        <v>35</v>
      </c>
      <c r="AF39" s="223">
        <v>749</v>
      </c>
      <c r="AG39" s="224">
        <v>297</v>
      </c>
      <c r="AH39" s="207">
        <v>8.76</v>
      </c>
      <c r="AI39" s="179">
        <v>1.04</v>
      </c>
      <c r="AJ39" s="127"/>
      <c r="AK39" s="202">
        <f t="shared" si="2"/>
        <v>9.8</v>
      </c>
    </row>
    <row r="40" spans="1:37" s="47" customFormat="1" ht="15">
      <c r="A40" s="135">
        <v>31</v>
      </c>
      <c r="B40" s="137"/>
      <c r="C40" s="128">
        <v>44</v>
      </c>
      <c r="D40" s="128"/>
      <c r="E40" s="128"/>
      <c r="F40" s="128"/>
      <c r="G40" s="130">
        <v>2001</v>
      </c>
      <c r="H40" s="130" t="s">
        <v>28</v>
      </c>
      <c r="I40" s="130">
        <v>5</v>
      </c>
      <c r="J40" s="130" t="s">
        <v>40</v>
      </c>
      <c r="K40" s="157">
        <f>M40*1110/2836.5</f>
        <v>1114.3828662083556</v>
      </c>
      <c r="L40" s="157">
        <v>14474</v>
      </c>
      <c r="M40" s="157">
        <f>N40+S40</f>
        <v>2847.7000000000003</v>
      </c>
      <c r="N40" s="157">
        <v>2501.4</v>
      </c>
      <c r="O40" s="133">
        <v>27</v>
      </c>
      <c r="P40" s="128"/>
      <c r="Q40" s="128"/>
      <c r="R40" s="130">
        <v>3</v>
      </c>
      <c r="S40" s="157">
        <v>346.3</v>
      </c>
      <c r="T40" s="157"/>
      <c r="U40" s="157"/>
      <c r="V40" s="157">
        <v>604.1</v>
      </c>
      <c r="W40" s="134" t="s">
        <v>30</v>
      </c>
      <c r="X40" s="134" t="s">
        <v>31</v>
      </c>
      <c r="Y40" s="136" t="s">
        <v>32</v>
      </c>
      <c r="Z40" s="136" t="s">
        <v>32</v>
      </c>
      <c r="AA40" s="136" t="s">
        <v>32</v>
      </c>
      <c r="AB40" s="136" t="s">
        <v>32</v>
      </c>
      <c r="AC40" s="130" t="s">
        <v>33</v>
      </c>
      <c r="AD40" s="130" t="s">
        <v>34</v>
      </c>
      <c r="AE40" s="130" t="s">
        <v>35</v>
      </c>
      <c r="AF40" s="223">
        <v>749</v>
      </c>
      <c r="AG40" s="224">
        <v>297</v>
      </c>
      <c r="AH40" s="201">
        <v>8.76</v>
      </c>
      <c r="AI40" s="179">
        <v>1.04</v>
      </c>
      <c r="AJ40" s="127"/>
      <c r="AK40" s="202">
        <f t="shared" si="2"/>
        <v>9.8</v>
      </c>
    </row>
    <row r="41" spans="1:37" s="47" customFormat="1" ht="15">
      <c r="A41" s="135">
        <v>32</v>
      </c>
      <c r="B41" s="137"/>
      <c r="C41" s="128">
        <v>45</v>
      </c>
      <c r="D41" s="128"/>
      <c r="E41" s="128"/>
      <c r="F41" s="128"/>
      <c r="G41" s="130">
        <v>2001</v>
      </c>
      <c r="H41" s="130" t="s">
        <v>28</v>
      </c>
      <c r="I41" s="130">
        <v>5</v>
      </c>
      <c r="J41" s="130" t="s">
        <v>40</v>
      </c>
      <c r="K41" s="157">
        <f>M41*1110/2836.5</f>
        <v>1197.735589635114</v>
      </c>
      <c r="L41" s="157">
        <v>16928</v>
      </c>
      <c r="M41" s="157">
        <f>N41+S41</f>
        <v>3060.7000000000003</v>
      </c>
      <c r="N41" s="157">
        <v>2705.9</v>
      </c>
      <c r="O41" s="133">
        <v>30</v>
      </c>
      <c r="P41" s="128"/>
      <c r="Q41" s="128"/>
      <c r="R41" s="130">
        <v>3</v>
      </c>
      <c r="S41" s="157">
        <v>354.8</v>
      </c>
      <c r="T41" s="157"/>
      <c r="U41" s="157"/>
      <c r="V41" s="157">
        <v>613</v>
      </c>
      <c r="W41" s="134" t="s">
        <v>30</v>
      </c>
      <c r="X41" s="134" t="s">
        <v>31</v>
      </c>
      <c r="Y41" s="136" t="s">
        <v>32</v>
      </c>
      <c r="Z41" s="136" t="s">
        <v>32</v>
      </c>
      <c r="AA41" s="136" t="s">
        <v>32</v>
      </c>
      <c r="AB41" s="136" t="s">
        <v>32</v>
      </c>
      <c r="AC41" s="130" t="s">
        <v>33</v>
      </c>
      <c r="AD41" s="130" t="s">
        <v>34</v>
      </c>
      <c r="AE41" s="130" t="s">
        <v>35</v>
      </c>
      <c r="AF41" s="223">
        <v>749</v>
      </c>
      <c r="AG41" s="224">
        <v>297</v>
      </c>
      <c r="AH41" s="201">
        <v>8.76</v>
      </c>
      <c r="AI41" s="179">
        <v>1.04</v>
      </c>
      <c r="AJ41" s="127"/>
      <c r="AK41" s="202">
        <f t="shared" si="2"/>
        <v>9.8</v>
      </c>
    </row>
    <row r="42" spans="1:37" s="47" customFormat="1" ht="15">
      <c r="A42" s="135">
        <v>33</v>
      </c>
      <c r="B42" s="137"/>
      <c r="C42" s="128">
        <v>46</v>
      </c>
      <c r="D42" s="128"/>
      <c r="E42" s="128"/>
      <c r="F42" s="128"/>
      <c r="G42" s="130">
        <v>1996</v>
      </c>
      <c r="H42" s="130" t="s">
        <v>28</v>
      </c>
      <c r="I42" s="130">
        <v>5</v>
      </c>
      <c r="J42" s="130" t="s">
        <v>38</v>
      </c>
      <c r="K42" s="157">
        <f>V42</f>
        <v>1262</v>
      </c>
      <c r="L42" s="157">
        <f>14135+8809</f>
        <v>22944</v>
      </c>
      <c r="M42" s="157">
        <f>N42+S42</f>
        <v>6119.5</v>
      </c>
      <c r="N42" s="157">
        <v>5402.7</v>
      </c>
      <c r="O42" s="133">
        <v>110</v>
      </c>
      <c r="P42" s="128"/>
      <c r="Q42" s="128"/>
      <c r="R42" s="130">
        <v>8</v>
      </c>
      <c r="S42" s="160">
        <v>716.8</v>
      </c>
      <c r="T42" s="160">
        <v>14.6</v>
      </c>
      <c r="U42" s="157">
        <f>V42+(76.6-13.9)</f>
        <v>1324.7</v>
      </c>
      <c r="V42" s="157">
        <f>767.3+494.7</f>
        <v>1262</v>
      </c>
      <c r="W42" s="134" t="s">
        <v>30</v>
      </c>
      <c r="X42" s="134" t="s">
        <v>31</v>
      </c>
      <c r="Y42" s="136" t="s">
        <v>32</v>
      </c>
      <c r="Z42" s="136" t="s">
        <v>32</v>
      </c>
      <c r="AA42" s="136" t="s">
        <v>32</v>
      </c>
      <c r="AB42" s="136" t="s">
        <v>32</v>
      </c>
      <c r="AC42" s="130" t="s">
        <v>33</v>
      </c>
      <c r="AD42" s="130" t="s">
        <v>34</v>
      </c>
      <c r="AE42" s="130" t="s">
        <v>35</v>
      </c>
      <c r="AF42" s="223">
        <v>510</v>
      </c>
      <c r="AG42" s="224">
        <v>918</v>
      </c>
      <c r="AH42" s="201">
        <v>8.99</v>
      </c>
      <c r="AI42" s="179">
        <v>1.04</v>
      </c>
      <c r="AJ42" s="127"/>
      <c r="AK42" s="202">
        <f t="shared" si="2"/>
        <v>10.030000000000001</v>
      </c>
    </row>
    <row r="43" spans="1:37" s="47" customFormat="1" ht="15.75" customHeight="1">
      <c r="A43" s="135">
        <v>34</v>
      </c>
      <c r="B43" s="137" t="s">
        <v>41</v>
      </c>
      <c r="C43" s="128">
        <v>1</v>
      </c>
      <c r="D43" s="128"/>
      <c r="E43" s="128"/>
      <c r="F43" s="128"/>
      <c r="G43" s="130">
        <v>1979</v>
      </c>
      <c r="H43" s="130" t="s">
        <v>28</v>
      </c>
      <c r="I43" s="130">
        <v>5</v>
      </c>
      <c r="J43" s="130" t="s">
        <v>38</v>
      </c>
      <c r="K43" s="157">
        <f>V43</f>
        <v>380.2</v>
      </c>
      <c r="L43" s="157">
        <v>7484</v>
      </c>
      <c r="M43" s="157">
        <f aca="true" t="shared" si="4" ref="M43:M50">N43+S43</f>
        <v>1892.8</v>
      </c>
      <c r="N43" s="157">
        <v>1716.6</v>
      </c>
      <c r="O43" s="133">
        <v>39</v>
      </c>
      <c r="P43" s="128"/>
      <c r="Q43" s="128"/>
      <c r="R43" s="130">
        <v>2</v>
      </c>
      <c r="S43" s="157">
        <v>176.2</v>
      </c>
      <c r="T43" s="157"/>
      <c r="U43" s="157"/>
      <c r="V43" s="157">
        <v>380.2</v>
      </c>
      <c r="W43" s="134" t="s">
        <v>30</v>
      </c>
      <c r="X43" s="134" t="s">
        <v>31</v>
      </c>
      <c r="Y43" s="136" t="s">
        <v>32</v>
      </c>
      <c r="Z43" s="136" t="s">
        <v>32</v>
      </c>
      <c r="AA43" s="136" t="s">
        <v>32</v>
      </c>
      <c r="AB43" s="136" t="s">
        <v>32</v>
      </c>
      <c r="AC43" s="130" t="s">
        <v>33</v>
      </c>
      <c r="AD43" s="130" t="s">
        <v>34</v>
      </c>
      <c r="AE43" s="130" t="s">
        <v>35</v>
      </c>
      <c r="AF43" s="223">
        <v>580</v>
      </c>
      <c r="AG43" s="224">
        <v>515</v>
      </c>
      <c r="AH43" s="201">
        <v>8.96</v>
      </c>
      <c r="AI43" s="179">
        <v>1.04</v>
      </c>
      <c r="AJ43" s="127"/>
      <c r="AK43" s="202">
        <f t="shared" si="2"/>
        <v>10</v>
      </c>
    </row>
    <row r="44" spans="1:37" s="47" customFormat="1" ht="15">
      <c r="A44" s="135">
        <v>35</v>
      </c>
      <c r="B44" s="137"/>
      <c r="C44" s="128">
        <v>2</v>
      </c>
      <c r="D44" s="128"/>
      <c r="E44" s="128"/>
      <c r="F44" s="128"/>
      <c r="G44" s="130">
        <v>1974</v>
      </c>
      <c r="H44" s="130" t="s">
        <v>42</v>
      </c>
      <c r="I44" s="130">
        <v>5</v>
      </c>
      <c r="J44" s="130" t="s">
        <v>38</v>
      </c>
      <c r="K44" s="157">
        <f>V44</f>
        <v>814.4</v>
      </c>
      <c r="L44" s="157">
        <v>15689</v>
      </c>
      <c r="M44" s="157">
        <f t="shared" si="4"/>
        <v>4438.32</v>
      </c>
      <c r="N44" s="157">
        <v>3917.72</v>
      </c>
      <c r="O44" s="133">
        <v>92</v>
      </c>
      <c r="P44" s="128"/>
      <c r="Q44" s="128"/>
      <c r="R44" s="130">
        <v>6</v>
      </c>
      <c r="S44" s="157">
        <v>520.6</v>
      </c>
      <c r="T44" s="157"/>
      <c r="U44" s="157"/>
      <c r="V44" s="157">
        <v>814.4</v>
      </c>
      <c r="W44" s="134" t="s">
        <v>30</v>
      </c>
      <c r="X44" s="134" t="s">
        <v>31</v>
      </c>
      <c r="Y44" s="136" t="s">
        <v>32</v>
      </c>
      <c r="Z44" s="136" t="s">
        <v>32</v>
      </c>
      <c r="AA44" s="136" t="s">
        <v>32</v>
      </c>
      <c r="AB44" s="136" t="s">
        <v>32</v>
      </c>
      <c r="AC44" s="130" t="s">
        <v>33</v>
      </c>
      <c r="AD44" s="130" t="s">
        <v>34</v>
      </c>
      <c r="AE44" s="130" t="s">
        <v>35</v>
      </c>
      <c r="AF44" s="223">
        <v>985</v>
      </c>
      <c r="AG44" s="224">
        <v>534</v>
      </c>
      <c r="AH44" s="201">
        <v>9.15</v>
      </c>
      <c r="AI44" s="179">
        <v>1.04</v>
      </c>
      <c r="AJ44" s="127"/>
      <c r="AK44" s="202">
        <f t="shared" si="2"/>
        <v>10.190000000000001</v>
      </c>
    </row>
    <row r="45" spans="1:37" s="47" customFormat="1" ht="15">
      <c r="A45" s="135">
        <v>36</v>
      </c>
      <c r="B45" s="137"/>
      <c r="C45" s="128">
        <v>3</v>
      </c>
      <c r="D45" s="128"/>
      <c r="E45" s="128"/>
      <c r="F45" s="128"/>
      <c r="G45" s="130">
        <v>1991</v>
      </c>
      <c r="H45" s="130" t="s">
        <v>42</v>
      </c>
      <c r="I45" s="130">
        <v>5</v>
      </c>
      <c r="J45" s="130" t="s">
        <v>38</v>
      </c>
      <c r="K45" s="157">
        <f>V45</f>
        <v>819</v>
      </c>
      <c r="L45" s="157">
        <v>11875</v>
      </c>
      <c r="M45" s="157">
        <f t="shared" si="4"/>
        <v>3494</v>
      </c>
      <c r="N45" s="157">
        <v>3030</v>
      </c>
      <c r="O45" s="133">
        <v>61</v>
      </c>
      <c r="P45" s="128"/>
      <c r="Q45" s="128"/>
      <c r="R45" s="130">
        <v>4</v>
      </c>
      <c r="S45" s="157">
        <v>464</v>
      </c>
      <c r="T45" s="157"/>
      <c r="U45" s="157">
        <v>819</v>
      </c>
      <c r="V45" s="157">
        <v>819</v>
      </c>
      <c r="W45" s="134" t="s">
        <v>30</v>
      </c>
      <c r="X45" s="138" t="s">
        <v>37</v>
      </c>
      <c r="Y45" s="136" t="s">
        <v>32</v>
      </c>
      <c r="Z45" s="136" t="s">
        <v>32</v>
      </c>
      <c r="AA45" s="136" t="s">
        <v>32</v>
      </c>
      <c r="AB45" s="136" t="s">
        <v>32</v>
      </c>
      <c r="AC45" s="130" t="s">
        <v>33</v>
      </c>
      <c r="AD45" s="130" t="s">
        <v>34</v>
      </c>
      <c r="AE45" s="130" t="s">
        <v>35</v>
      </c>
      <c r="AF45" s="223">
        <v>1000</v>
      </c>
      <c r="AG45" s="224">
        <v>293</v>
      </c>
      <c r="AH45" s="201">
        <v>9.56</v>
      </c>
      <c r="AI45" s="179">
        <v>1.04</v>
      </c>
      <c r="AJ45" s="127"/>
      <c r="AK45" s="202">
        <f t="shared" si="2"/>
        <v>10.600000000000001</v>
      </c>
    </row>
    <row r="46" spans="1:37" s="47" customFormat="1" ht="15">
      <c r="A46" s="135">
        <v>37</v>
      </c>
      <c r="B46" s="137"/>
      <c r="C46" s="128">
        <v>4</v>
      </c>
      <c r="D46" s="128"/>
      <c r="E46" s="128"/>
      <c r="F46" s="128"/>
      <c r="G46" s="130">
        <v>1992</v>
      </c>
      <c r="H46" s="130" t="s">
        <v>42</v>
      </c>
      <c r="I46" s="130">
        <v>5</v>
      </c>
      <c r="J46" s="130" t="s">
        <v>38</v>
      </c>
      <c r="K46" s="157">
        <f>V46</f>
        <v>796.1</v>
      </c>
      <c r="L46" s="157">
        <v>11106</v>
      </c>
      <c r="M46" s="157">
        <f t="shared" si="4"/>
        <v>3422</v>
      </c>
      <c r="N46" s="157">
        <v>2977.2</v>
      </c>
      <c r="O46" s="133">
        <v>61</v>
      </c>
      <c r="P46" s="128"/>
      <c r="Q46" s="128"/>
      <c r="R46" s="130">
        <v>4</v>
      </c>
      <c r="S46" s="157">
        <v>444.8</v>
      </c>
      <c r="T46" s="157"/>
      <c r="U46" s="157">
        <v>796.1</v>
      </c>
      <c r="V46" s="157">
        <v>796.1</v>
      </c>
      <c r="W46" s="134" t="s">
        <v>30</v>
      </c>
      <c r="X46" s="138" t="s">
        <v>37</v>
      </c>
      <c r="Y46" s="136" t="s">
        <v>32</v>
      </c>
      <c r="Z46" s="136" t="s">
        <v>32</v>
      </c>
      <c r="AA46" s="136" t="s">
        <v>32</v>
      </c>
      <c r="AB46" s="136" t="s">
        <v>32</v>
      </c>
      <c r="AC46" s="130" t="s">
        <v>33</v>
      </c>
      <c r="AD46" s="130" t="s">
        <v>34</v>
      </c>
      <c r="AE46" s="130" t="s">
        <v>35</v>
      </c>
      <c r="AF46" s="223">
        <v>725</v>
      </c>
      <c r="AG46" s="224">
        <v>464</v>
      </c>
      <c r="AH46" s="201">
        <v>9.56</v>
      </c>
      <c r="AI46" s="179">
        <v>1.04</v>
      </c>
      <c r="AJ46" s="127"/>
      <c r="AK46" s="202">
        <f t="shared" si="2"/>
        <v>10.600000000000001</v>
      </c>
    </row>
    <row r="47" spans="1:37" s="47" customFormat="1" ht="15">
      <c r="A47" s="135">
        <v>38</v>
      </c>
      <c r="B47" s="137"/>
      <c r="C47" s="128">
        <v>5</v>
      </c>
      <c r="D47" s="128"/>
      <c r="E47" s="128"/>
      <c r="F47" s="128"/>
      <c r="G47" s="130">
        <v>1985</v>
      </c>
      <c r="H47" s="130" t="s">
        <v>28</v>
      </c>
      <c r="I47" s="130">
        <v>5</v>
      </c>
      <c r="J47" s="130" t="s">
        <v>38</v>
      </c>
      <c r="K47" s="157">
        <f>M47*1169.6/4500.3</f>
        <v>1215.785724507255</v>
      </c>
      <c r="L47" s="157">
        <v>16880</v>
      </c>
      <c r="M47" s="157">
        <f t="shared" si="4"/>
        <v>4678.01</v>
      </c>
      <c r="N47" s="157">
        <v>4185.51</v>
      </c>
      <c r="O47" s="133">
        <v>82</v>
      </c>
      <c r="P47" s="128"/>
      <c r="Q47" s="128"/>
      <c r="R47" s="130">
        <v>6</v>
      </c>
      <c r="S47" s="157">
        <v>492.5</v>
      </c>
      <c r="T47" s="157"/>
      <c r="U47" s="231">
        <v>1164</v>
      </c>
      <c r="V47" s="157"/>
      <c r="W47" s="134" t="s">
        <v>30</v>
      </c>
      <c r="X47" s="138" t="s">
        <v>37</v>
      </c>
      <c r="Y47" s="136" t="s">
        <v>32</v>
      </c>
      <c r="Z47" s="136" t="s">
        <v>32</v>
      </c>
      <c r="AA47" s="136" t="s">
        <v>32</v>
      </c>
      <c r="AB47" s="136" t="s">
        <v>32</v>
      </c>
      <c r="AC47" s="130" t="s">
        <v>33</v>
      </c>
      <c r="AD47" s="130" t="s">
        <v>34</v>
      </c>
      <c r="AE47" s="130" t="s">
        <v>35</v>
      </c>
      <c r="AF47" s="223">
        <v>882</v>
      </c>
      <c r="AG47" s="224">
        <v>613</v>
      </c>
      <c r="AH47" s="201">
        <v>9.43</v>
      </c>
      <c r="AI47" s="179">
        <v>1.04</v>
      </c>
      <c r="AJ47" s="127"/>
      <c r="AK47" s="202">
        <f t="shared" si="2"/>
        <v>10.469999999999999</v>
      </c>
    </row>
    <row r="48" spans="1:37" s="47" customFormat="1" ht="15">
      <c r="A48" s="135">
        <v>39</v>
      </c>
      <c r="B48" s="137"/>
      <c r="C48" s="128">
        <v>6</v>
      </c>
      <c r="D48" s="128"/>
      <c r="E48" s="128"/>
      <c r="F48" s="128"/>
      <c r="G48" s="130">
        <v>1982</v>
      </c>
      <c r="H48" s="130" t="s">
        <v>28</v>
      </c>
      <c r="I48" s="130">
        <v>5</v>
      </c>
      <c r="J48" s="130" t="s">
        <v>38</v>
      </c>
      <c r="K48" s="157">
        <f>M48*1169.6/4500.3</f>
        <v>1219.1617447725705</v>
      </c>
      <c r="L48" s="157">
        <v>17552</v>
      </c>
      <c r="M48" s="157">
        <f t="shared" si="4"/>
        <v>4691</v>
      </c>
      <c r="N48" s="157">
        <v>4174</v>
      </c>
      <c r="O48" s="133">
        <v>79</v>
      </c>
      <c r="P48" s="128"/>
      <c r="Q48" s="128"/>
      <c r="R48" s="130">
        <v>6</v>
      </c>
      <c r="S48" s="157">
        <v>517</v>
      </c>
      <c r="T48" s="157"/>
      <c r="U48" s="231">
        <v>1164</v>
      </c>
      <c r="V48" s="157"/>
      <c r="W48" s="134" t="s">
        <v>30</v>
      </c>
      <c r="X48" s="138" t="s">
        <v>37</v>
      </c>
      <c r="Y48" s="136" t="s">
        <v>32</v>
      </c>
      <c r="Z48" s="136" t="s">
        <v>32</v>
      </c>
      <c r="AA48" s="136" t="s">
        <v>32</v>
      </c>
      <c r="AB48" s="136" t="s">
        <v>32</v>
      </c>
      <c r="AC48" s="130" t="s">
        <v>33</v>
      </c>
      <c r="AD48" s="130" t="s">
        <v>34</v>
      </c>
      <c r="AE48" s="130" t="s">
        <v>35</v>
      </c>
      <c r="AF48" s="223">
        <v>1475</v>
      </c>
      <c r="AG48" s="224">
        <v>489</v>
      </c>
      <c r="AH48" s="201">
        <v>9.43</v>
      </c>
      <c r="AI48" s="179">
        <v>1.04</v>
      </c>
      <c r="AJ48" s="127"/>
      <c r="AK48" s="202">
        <f t="shared" si="2"/>
        <v>10.469999999999999</v>
      </c>
    </row>
    <row r="49" spans="1:37" s="47" customFormat="1" ht="15">
      <c r="A49" s="135">
        <v>40</v>
      </c>
      <c r="B49" s="137"/>
      <c r="C49" s="128">
        <v>8</v>
      </c>
      <c r="D49" s="128"/>
      <c r="E49" s="128"/>
      <c r="F49" s="128"/>
      <c r="G49" s="130">
        <v>1978</v>
      </c>
      <c r="H49" s="130" t="s">
        <v>28</v>
      </c>
      <c r="I49" s="130">
        <v>5</v>
      </c>
      <c r="J49" s="130" t="s">
        <v>38</v>
      </c>
      <c r="K49" s="157">
        <f>V49</f>
        <v>752.7</v>
      </c>
      <c r="L49" s="157">
        <v>13061</v>
      </c>
      <c r="M49" s="157">
        <f t="shared" si="4"/>
        <v>3716.7</v>
      </c>
      <c r="N49" s="157">
        <v>3382.5</v>
      </c>
      <c r="O49" s="133">
        <v>70</v>
      </c>
      <c r="P49" s="128"/>
      <c r="Q49" s="128"/>
      <c r="R49" s="130">
        <v>4</v>
      </c>
      <c r="S49" s="157">
        <v>334.2</v>
      </c>
      <c r="T49" s="157"/>
      <c r="U49" s="157"/>
      <c r="V49" s="157">
        <v>752.7</v>
      </c>
      <c r="W49" s="134" t="s">
        <v>30</v>
      </c>
      <c r="X49" s="134" t="s">
        <v>31</v>
      </c>
      <c r="Y49" s="136" t="s">
        <v>32</v>
      </c>
      <c r="Z49" s="136" t="s">
        <v>32</v>
      </c>
      <c r="AA49" s="136" t="s">
        <v>32</v>
      </c>
      <c r="AB49" s="136" t="s">
        <v>32</v>
      </c>
      <c r="AC49" s="130" t="s">
        <v>33</v>
      </c>
      <c r="AD49" s="130" t="s">
        <v>34</v>
      </c>
      <c r="AE49" s="130" t="s">
        <v>35</v>
      </c>
      <c r="AF49" s="223">
        <v>703</v>
      </c>
      <c r="AG49" s="224">
        <v>1430</v>
      </c>
      <c r="AH49" s="201">
        <v>8.96</v>
      </c>
      <c r="AI49" s="179">
        <v>1.04</v>
      </c>
      <c r="AJ49" s="127"/>
      <c r="AK49" s="202">
        <f t="shared" si="2"/>
        <v>10</v>
      </c>
    </row>
    <row r="50" spans="1:37" s="47" customFormat="1" ht="15">
      <c r="A50" s="135">
        <v>41</v>
      </c>
      <c r="B50" s="137"/>
      <c r="C50" s="128">
        <v>9</v>
      </c>
      <c r="D50" s="128"/>
      <c r="E50" s="128"/>
      <c r="F50" s="128"/>
      <c r="G50" s="130">
        <v>1973</v>
      </c>
      <c r="H50" s="130" t="s">
        <v>42</v>
      </c>
      <c r="I50" s="130">
        <v>5</v>
      </c>
      <c r="J50" s="130" t="s">
        <v>38</v>
      </c>
      <c r="K50" s="157">
        <f>V50</f>
        <v>539.4</v>
      </c>
      <c r="L50" s="157">
        <v>10466</v>
      </c>
      <c r="M50" s="157">
        <f t="shared" si="4"/>
        <v>2952.4</v>
      </c>
      <c r="N50" s="157">
        <v>2617.6</v>
      </c>
      <c r="O50" s="133">
        <v>60</v>
      </c>
      <c r="P50" s="128"/>
      <c r="Q50" s="128"/>
      <c r="R50" s="130">
        <v>4</v>
      </c>
      <c r="S50" s="157">
        <v>334.8</v>
      </c>
      <c r="T50" s="157"/>
      <c r="U50" s="157"/>
      <c r="V50" s="157">
        <v>539.4</v>
      </c>
      <c r="W50" s="134" t="s">
        <v>30</v>
      </c>
      <c r="X50" s="134" t="s">
        <v>31</v>
      </c>
      <c r="Y50" s="136" t="s">
        <v>32</v>
      </c>
      <c r="Z50" s="136" t="s">
        <v>32</v>
      </c>
      <c r="AA50" s="136" t="s">
        <v>32</v>
      </c>
      <c r="AB50" s="136" t="s">
        <v>32</v>
      </c>
      <c r="AC50" s="130" t="s">
        <v>33</v>
      </c>
      <c r="AD50" s="130" t="s">
        <v>34</v>
      </c>
      <c r="AE50" s="130" t="s">
        <v>35</v>
      </c>
      <c r="AF50" s="223">
        <v>878</v>
      </c>
      <c r="AG50" s="224">
        <v>564</v>
      </c>
      <c r="AH50" s="201">
        <v>9.15</v>
      </c>
      <c r="AI50" s="179">
        <v>1.04</v>
      </c>
      <c r="AJ50" s="127"/>
      <c r="AK50" s="202">
        <f t="shared" si="2"/>
        <v>10.190000000000001</v>
      </c>
    </row>
    <row r="51" spans="1:37" ht="15">
      <c r="A51" s="135">
        <v>42</v>
      </c>
      <c r="B51" s="127" t="s">
        <v>43</v>
      </c>
      <c r="C51" s="128">
        <v>1</v>
      </c>
      <c r="D51" s="128"/>
      <c r="E51" s="128"/>
      <c r="F51" s="128"/>
      <c r="G51" s="130">
        <v>1960</v>
      </c>
      <c r="H51" s="130" t="s">
        <v>28</v>
      </c>
      <c r="I51" s="131">
        <v>2</v>
      </c>
      <c r="J51" s="130" t="s">
        <v>29</v>
      </c>
      <c r="K51" s="157">
        <f>M51*288/342.6</f>
        <v>627.0262697022766</v>
      </c>
      <c r="L51" s="157">
        <f>M51*L54/M54</f>
        <v>3059.0897322741985</v>
      </c>
      <c r="M51" s="157">
        <v>745.9</v>
      </c>
      <c r="N51" s="158">
        <v>630.6</v>
      </c>
      <c r="O51" s="133">
        <v>16</v>
      </c>
      <c r="P51" s="147"/>
      <c r="Q51" s="134"/>
      <c r="R51" s="131">
        <v>2</v>
      </c>
      <c r="S51" s="157">
        <v>35.8</v>
      </c>
      <c r="T51" s="157"/>
      <c r="U51" s="160">
        <v>720</v>
      </c>
      <c r="V51" s="160">
        <v>720</v>
      </c>
      <c r="W51" s="134" t="s">
        <v>30</v>
      </c>
      <c r="X51" s="134" t="s">
        <v>31</v>
      </c>
      <c r="Y51" s="136" t="s">
        <v>32</v>
      </c>
      <c r="Z51" s="136" t="s">
        <v>32</v>
      </c>
      <c r="AA51" s="136" t="s">
        <v>32</v>
      </c>
      <c r="AB51" s="136" t="s">
        <v>52</v>
      </c>
      <c r="AC51" s="130" t="s">
        <v>33</v>
      </c>
      <c r="AD51" s="130" t="s">
        <v>34</v>
      </c>
      <c r="AE51" s="130" t="s">
        <v>35</v>
      </c>
      <c r="AF51" s="227">
        <v>276</v>
      </c>
      <c r="AG51" s="228">
        <v>257</v>
      </c>
      <c r="AH51" s="201">
        <v>8.12</v>
      </c>
      <c r="AI51" s="179">
        <v>1.04</v>
      </c>
      <c r="AJ51" s="179"/>
      <c r="AK51" s="202">
        <f t="shared" si="2"/>
        <v>9.16</v>
      </c>
    </row>
    <row r="52" spans="1:37" ht="15">
      <c r="A52" s="135">
        <v>43</v>
      </c>
      <c r="B52" s="137"/>
      <c r="C52" s="128">
        <v>2</v>
      </c>
      <c r="D52" s="128"/>
      <c r="E52" s="128"/>
      <c r="F52" s="128"/>
      <c r="G52" s="130">
        <v>1958</v>
      </c>
      <c r="H52" s="130" t="s">
        <v>28</v>
      </c>
      <c r="I52" s="130">
        <v>2</v>
      </c>
      <c r="J52" s="130" t="s">
        <v>29</v>
      </c>
      <c r="K52" s="157">
        <f>M52*288/342.6</f>
        <v>852.567425569177</v>
      </c>
      <c r="L52" s="157">
        <f>M52*L51/M51</f>
        <v>4159.443365695794</v>
      </c>
      <c r="M52" s="157">
        <v>1014.2</v>
      </c>
      <c r="N52" s="158">
        <v>615.9</v>
      </c>
      <c r="O52" s="133">
        <v>16</v>
      </c>
      <c r="P52" s="128"/>
      <c r="Q52" s="128"/>
      <c r="R52" s="128">
        <v>2</v>
      </c>
      <c r="S52" s="157">
        <v>51</v>
      </c>
      <c r="T52" s="157"/>
      <c r="U52" s="160">
        <v>740</v>
      </c>
      <c r="V52" s="160">
        <v>740</v>
      </c>
      <c r="W52" s="134" t="s">
        <v>30</v>
      </c>
      <c r="X52" s="134" t="s">
        <v>31</v>
      </c>
      <c r="Y52" s="136" t="s">
        <v>32</v>
      </c>
      <c r="Z52" s="136" t="s">
        <v>32</v>
      </c>
      <c r="AA52" s="136" t="s">
        <v>32</v>
      </c>
      <c r="AB52" s="136" t="s">
        <v>52</v>
      </c>
      <c r="AC52" s="130" t="s">
        <v>33</v>
      </c>
      <c r="AD52" s="130" t="s">
        <v>34</v>
      </c>
      <c r="AE52" s="130" t="s">
        <v>35</v>
      </c>
      <c r="AF52" s="227">
        <v>276</v>
      </c>
      <c r="AG52" s="228">
        <v>257</v>
      </c>
      <c r="AH52" s="201">
        <v>8.12</v>
      </c>
      <c r="AI52" s="179">
        <v>1.04</v>
      </c>
      <c r="AJ52" s="179"/>
      <c r="AK52" s="202">
        <f t="shared" si="2"/>
        <v>9.16</v>
      </c>
    </row>
    <row r="53" spans="1:37" s="47" customFormat="1" ht="15">
      <c r="A53" s="135">
        <v>44</v>
      </c>
      <c r="B53" s="137"/>
      <c r="C53" s="128">
        <v>3</v>
      </c>
      <c r="D53" s="128"/>
      <c r="E53" s="128"/>
      <c r="F53" s="128"/>
      <c r="G53" s="130">
        <v>1969</v>
      </c>
      <c r="H53" s="130" t="s">
        <v>28</v>
      </c>
      <c r="I53" s="130">
        <v>4</v>
      </c>
      <c r="J53" s="130" t="s">
        <v>29</v>
      </c>
      <c r="K53" s="157">
        <f>35.1*12.8*1.3</f>
        <v>584.0640000000001</v>
      </c>
      <c r="L53" s="157">
        <v>4242</v>
      </c>
      <c r="M53" s="157">
        <f>N53+S53</f>
        <v>1322.1</v>
      </c>
      <c r="N53" s="157">
        <v>1213</v>
      </c>
      <c r="O53" s="133">
        <v>30</v>
      </c>
      <c r="P53" s="128"/>
      <c r="Q53" s="128"/>
      <c r="R53" s="128">
        <v>2</v>
      </c>
      <c r="S53" s="157">
        <v>109.1</v>
      </c>
      <c r="T53" s="157"/>
      <c r="U53" s="157"/>
      <c r="V53" s="157">
        <v>266.2</v>
      </c>
      <c r="W53" s="134" t="s">
        <v>30</v>
      </c>
      <c r="X53" s="134" t="s">
        <v>31</v>
      </c>
      <c r="Y53" s="136" t="s">
        <v>32</v>
      </c>
      <c r="Z53" s="136" t="s">
        <v>32</v>
      </c>
      <c r="AA53" s="136" t="s">
        <v>32</v>
      </c>
      <c r="AB53" s="136" t="s">
        <v>32</v>
      </c>
      <c r="AC53" s="130" t="s">
        <v>33</v>
      </c>
      <c r="AD53" s="130" t="s">
        <v>34</v>
      </c>
      <c r="AE53" s="130" t="s">
        <v>35</v>
      </c>
      <c r="AF53" s="227">
        <v>276</v>
      </c>
      <c r="AG53" s="228">
        <v>257</v>
      </c>
      <c r="AH53" s="207">
        <v>10.75</v>
      </c>
      <c r="AI53" s="179">
        <v>1.04</v>
      </c>
      <c r="AJ53" s="127"/>
      <c r="AK53" s="202">
        <f t="shared" si="2"/>
        <v>11.79</v>
      </c>
    </row>
    <row r="54" spans="1:37" s="47" customFormat="1" ht="15">
      <c r="A54" s="135">
        <v>45</v>
      </c>
      <c r="B54" s="137"/>
      <c r="C54" s="128">
        <v>4</v>
      </c>
      <c r="D54" s="128"/>
      <c r="E54" s="128"/>
      <c r="F54" s="128"/>
      <c r="G54" s="130">
        <v>1960</v>
      </c>
      <c r="H54" s="130" t="s">
        <v>28</v>
      </c>
      <c r="I54" s="130">
        <v>2</v>
      </c>
      <c r="J54" s="130" t="s">
        <v>29</v>
      </c>
      <c r="K54" s="157">
        <f>M54*288/342.6</f>
        <v>571.4605954465849</v>
      </c>
      <c r="L54" s="157">
        <v>2788</v>
      </c>
      <c r="M54" s="157">
        <f>N54+S54</f>
        <v>679.8</v>
      </c>
      <c r="N54" s="157">
        <v>630.8</v>
      </c>
      <c r="O54" s="133">
        <v>16</v>
      </c>
      <c r="P54" s="128"/>
      <c r="Q54" s="128"/>
      <c r="R54" s="128">
        <v>2</v>
      </c>
      <c r="S54" s="157">
        <v>49</v>
      </c>
      <c r="T54" s="157"/>
      <c r="U54" s="157"/>
      <c r="V54" s="157">
        <v>56.6</v>
      </c>
      <c r="W54" s="134" t="s">
        <v>30</v>
      </c>
      <c r="X54" s="134" t="s">
        <v>31</v>
      </c>
      <c r="Y54" s="136" t="s">
        <v>32</v>
      </c>
      <c r="Z54" s="136" t="s">
        <v>32</v>
      </c>
      <c r="AA54" s="136" t="s">
        <v>32</v>
      </c>
      <c r="AB54" s="136" t="s">
        <v>52</v>
      </c>
      <c r="AC54" s="130" t="s">
        <v>33</v>
      </c>
      <c r="AD54" s="130" t="s">
        <v>34</v>
      </c>
      <c r="AE54" s="130" t="s">
        <v>35</v>
      </c>
      <c r="AF54" s="227">
        <v>276</v>
      </c>
      <c r="AG54" s="228">
        <v>257</v>
      </c>
      <c r="AH54" s="207">
        <v>7.98</v>
      </c>
      <c r="AI54" s="179">
        <v>1.04</v>
      </c>
      <c r="AJ54" s="127"/>
      <c r="AK54" s="202">
        <f t="shared" si="2"/>
        <v>9.02</v>
      </c>
    </row>
    <row r="55" spans="1:37" s="47" customFormat="1" ht="15">
      <c r="A55" s="135">
        <v>46</v>
      </c>
      <c r="B55" s="137"/>
      <c r="C55" s="128">
        <v>5</v>
      </c>
      <c r="D55" s="128"/>
      <c r="E55" s="128"/>
      <c r="F55" s="128"/>
      <c r="G55" s="130">
        <v>1960</v>
      </c>
      <c r="H55" s="130" t="s">
        <v>28</v>
      </c>
      <c r="I55" s="130">
        <v>2</v>
      </c>
      <c r="J55" s="130" t="s">
        <v>29</v>
      </c>
      <c r="K55" s="157">
        <f>M55*288/342.6</f>
        <v>570.4518388791594</v>
      </c>
      <c r="L55" s="157">
        <v>2563</v>
      </c>
      <c r="M55" s="157">
        <f>N55+V55</f>
        <v>678.6</v>
      </c>
      <c r="N55" s="157">
        <v>621.7</v>
      </c>
      <c r="O55" s="133">
        <v>16</v>
      </c>
      <c r="P55" s="128"/>
      <c r="Q55" s="128"/>
      <c r="R55" s="128">
        <v>2</v>
      </c>
      <c r="S55" s="157">
        <v>56.9</v>
      </c>
      <c r="T55" s="157"/>
      <c r="U55" s="157"/>
      <c r="V55" s="157">
        <v>56.9</v>
      </c>
      <c r="W55" s="134" t="s">
        <v>30</v>
      </c>
      <c r="X55" s="134" t="s">
        <v>31</v>
      </c>
      <c r="Y55" s="136" t="s">
        <v>32</v>
      </c>
      <c r="Z55" s="136" t="s">
        <v>32</v>
      </c>
      <c r="AA55" s="136" t="s">
        <v>32</v>
      </c>
      <c r="AB55" s="136" t="s">
        <v>52</v>
      </c>
      <c r="AC55" s="130" t="s">
        <v>33</v>
      </c>
      <c r="AD55" s="130" t="s">
        <v>34</v>
      </c>
      <c r="AE55" s="130" t="s">
        <v>35</v>
      </c>
      <c r="AF55" s="227">
        <v>276</v>
      </c>
      <c r="AG55" s="228">
        <v>257</v>
      </c>
      <c r="AH55" s="201">
        <v>7.98</v>
      </c>
      <c r="AI55" s="179">
        <v>1.04</v>
      </c>
      <c r="AJ55" s="127"/>
      <c r="AK55" s="202">
        <f t="shared" si="2"/>
        <v>9.02</v>
      </c>
    </row>
    <row r="56" spans="1:37" s="47" customFormat="1" ht="15">
      <c r="A56" s="135">
        <v>47</v>
      </c>
      <c r="B56" s="137"/>
      <c r="C56" s="128">
        <v>6</v>
      </c>
      <c r="D56" s="128"/>
      <c r="E56" s="128"/>
      <c r="F56" s="128"/>
      <c r="G56" s="130">
        <v>1960</v>
      </c>
      <c r="H56" s="130" t="s">
        <v>28</v>
      </c>
      <c r="I56" s="130">
        <v>2</v>
      </c>
      <c r="J56" s="130" t="s">
        <v>29</v>
      </c>
      <c r="K56" s="157">
        <f>M56*288/342.6</f>
        <v>561.3730297723292</v>
      </c>
      <c r="L56" s="157">
        <v>2812</v>
      </c>
      <c r="M56" s="157">
        <f>N56+S56</f>
        <v>667.8000000000001</v>
      </c>
      <c r="N56" s="157">
        <v>622.2</v>
      </c>
      <c r="O56" s="133">
        <v>16</v>
      </c>
      <c r="P56" s="128"/>
      <c r="Q56" s="128"/>
      <c r="R56" s="128">
        <v>2</v>
      </c>
      <c r="S56" s="157">
        <v>45.6</v>
      </c>
      <c r="T56" s="157"/>
      <c r="U56" s="157"/>
      <c r="V56" s="157"/>
      <c r="W56" s="134" t="s">
        <v>30</v>
      </c>
      <c r="X56" s="134" t="s">
        <v>31</v>
      </c>
      <c r="Y56" s="136" t="s">
        <v>32</v>
      </c>
      <c r="Z56" s="136" t="s">
        <v>32</v>
      </c>
      <c r="AA56" s="136" t="s">
        <v>32</v>
      </c>
      <c r="AB56" s="136" t="s">
        <v>52</v>
      </c>
      <c r="AC56" s="130" t="s">
        <v>33</v>
      </c>
      <c r="AD56" s="130" t="s">
        <v>34</v>
      </c>
      <c r="AE56" s="130" t="s">
        <v>35</v>
      </c>
      <c r="AF56" s="223">
        <v>365</v>
      </c>
      <c r="AG56" s="224">
        <v>240</v>
      </c>
      <c r="AH56" s="201">
        <v>7.69</v>
      </c>
      <c r="AI56" s="179">
        <v>1.04</v>
      </c>
      <c r="AJ56" s="127"/>
      <c r="AK56" s="202">
        <f t="shared" si="2"/>
        <v>8.73</v>
      </c>
    </row>
    <row r="57" spans="1:37" s="47" customFormat="1" ht="15">
      <c r="A57" s="135">
        <v>48</v>
      </c>
      <c r="B57" s="137"/>
      <c r="C57" s="128">
        <v>7</v>
      </c>
      <c r="D57" s="128"/>
      <c r="E57" s="128"/>
      <c r="F57" s="128"/>
      <c r="G57" s="130">
        <v>1960</v>
      </c>
      <c r="H57" s="130" t="s">
        <v>28</v>
      </c>
      <c r="I57" s="130">
        <v>2</v>
      </c>
      <c r="J57" s="130" t="s">
        <v>29</v>
      </c>
      <c r="K57" s="157">
        <f>M57*288/342.6</f>
        <v>555.8248686514886</v>
      </c>
      <c r="L57" s="157">
        <v>2740</v>
      </c>
      <c r="M57" s="157">
        <f>N57+S57</f>
        <v>661.2</v>
      </c>
      <c r="N57" s="157">
        <v>610.6</v>
      </c>
      <c r="O57" s="133">
        <v>16</v>
      </c>
      <c r="P57" s="128"/>
      <c r="Q57" s="128"/>
      <c r="R57" s="128">
        <v>2</v>
      </c>
      <c r="S57" s="157">
        <v>50.6</v>
      </c>
      <c r="T57" s="157"/>
      <c r="U57" s="157"/>
      <c r="V57" s="157">
        <v>47.8</v>
      </c>
      <c r="W57" s="134" t="s">
        <v>30</v>
      </c>
      <c r="X57" s="134" t="s">
        <v>31</v>
      </c>
      <c r="Y57" s="136" t="s">
        <v>32</v>
      </c>
      <c r="Z57" s="136" t="s">
        <v>32</v>
      </c>
      <c r="AA57" s="136" t="s">
        <v>32</v>
      </c>
      <c r="AB57" s="136" t="s">
        <v>52</v>
      </c>
      <c r="AC57" s="130" t="s">
        <v>33</v>
      </c>
      <c r="AD57" s="130" t="s">
        <v>34</v>
      </c>
      <c r="AE57" s="130" t="s">
        <v>35</v>
      </c>
      <c r="AF57" s="223">
        <v>365</v>
      </c>
      <c r="AG57" s="224">
        <v>240</v>
      </c>
      <c r="AH57" s="201">
        <v>7.98</v>
      </c>
      <c r="AI57" s="179">
        <v>1.04</v>
      </c>
      <c r="AJ57" s="127"/>
      <c r="AK57" s="202">
        <f t="shared" si="2"/>
        <v>9.02</v>
      </c>
    </row>
    <row r="58" spans="1:37" s="47" customFormat="1" ht="15">
      <c r="A58" s="135">
        <v>49</v>
      </c>
      <c r="B58" s="137"/>
      <c r="C58" s="128">
        <v>8</v>
      </c>
      <c r="D58" s="128"/>
      <c r="E58" s="128"/>
      <c r="F58" s="128"/>
      <c r="G58" s="130">
        <v>1960</v>
      </c>
      <c r="H58" s="130" t="s">
        <v>28</v>
      </c>
      <c r="I58" s="130">
        <v>2</v>
      </c>
      <c r="J58" s="130" t="s">
        <v>29</v>
      </c>
      <c r="K58" s="157">
        <f>12.63*34.48*1.3</f>
        <v>566.12712</v>
      </c>
      <c r="L58" s="157">
        <v>3310</v>
      </c>
      <c r="M58" s="157">
        <f>N58+S58</f>
        <v>668.6</v>
      </c>
      <c r="N58" s="157">
        <v>618.4</v>
      </c>
      <c r="O58" s="133">
        <v>16</v>
      </c>
      <c r="P58" s="128"/>
      <c r="Q58" s="128"/>
      <c r="R58" s="128">
        <v>2</v>
      </c>
      <c r="S58" s="157">
        <v>50.2</v>
      </c>
      <c r="T58" s="157"/>
      <c r="U58" s="157"/>
      <c r="V58" s="157">
        <v>348.7</v>
      </c>
      <c r="W58" s="134" t="s">
        <v>30</v>
      </c>
      <c r="X58" s="134" t="s">
        <v>31</v>
      </c>
      <c r="Y58" s="136" t="s">
        <v>32</v>
      </c>
      <c r="Z58" s="136" t="s">
        <v>32</v>
      </c>
      <c r="AA58" s="136" t="s">
        <v>32</v>
      </c>
      <c r="AB58" s="136" t="s">
        <v>52</v>
      </c>
      <c r="AC58" s="130" t="s">
        <v>33</v>
      </c>
      <c r="AD58" s="130" t="s">
        <v>34</v>
      </c>
      <c r="AE58" s="130" t="s">
        <v>35</v>
      </c>
      <c r="AF58" s="223">
        <v>365</v>
      </c>
      <c r="AG58" s="224">
        <v>240</v>
      </c>
      <c r="AH58" s="201">
        <v>7.98</v>
      </c>
      <c r="AI58" s="179">
        <v>1.04</v>
      </c>
      <c r="AJ58" s="127"/>
      <c r="AK58" s="202">
        <f t="shared" si="2"/>
        <v>9.02</v>
      </c>
    </row>
    <row r="59" spans="1:37" ht="15">
      <c r="A59" s="135">
        <v>50</v>
      </c>
      <c r="B59" s="137"/>
      <c r="C59" s="128">
        <v>9</v>
      </c>
      <c r="D59" s="128"/>
      <c r="E59" s="128"/>
      <c r="F59" s="128"/>
      <c r="G59" s="130">
        <v>1983</v>
      </c>
      <c r="H59" s="130" t="s">
        <v>28</v>
      </c>
      <c r="I59" s="130">
        <v>2</v>
      </c>
      <c r="J59" s="130" t="s">
        <v>38</v>
      </c>
      <c r="K59" s="157">
        <f>M59*288/342.6</f>
        <v>523.5446584938703</v>
      </c>
      <c r="L59" s="157">
        <f>M59*L60/M60</f>
        <v>3083.2605444211786</v>
      </c>
      <c r="M59" s="157">
        <v>622.8</v>
      </c>
      <c r="N59" s="158">
        <v>571.1</v>
      </c>
      <c r="O59" s="133">
        <v>12</v>
      </c>
      <c r="P59" s="128"/>
      <c r="Q59" s="128"/>
      <c r="R59" s="128">
        <v>2</v>
      </c>
      <c r="S59" s="157">
        <v>51.7</v>
      </c>
      <c r="T59" s="157"/>
      <c r="U59" s="160">
        <v>550</v>
      </c>
      <c r="V59" s="160">
        <v>550</v>
      </c>
      <c r="W59" s="134" t="s">
        <v>30</v>
      </c>
      <c r="X59" s="134" t="s">
        <v>31</v>
      </c>
      <c r="Y59" s="136" t="s">
        <v>32</v>
      </c>
      <c r="Z59" s="136" t="s">
        <v>32</v>
      </c>
      <c r="AA59" s="136" t="s">
        <v>32</v>
      </c>
      <c r="AB59" s="136" t="s">
        <v>52</v>
      </c>
      <c r="AC59" s="130" t="s">
        <v>33</v>
      </c>
      <c r="AD59" s="130" t="s">
        <v>34</v>
      </c>
      <c r="AE59" s="130" t="s">
        <v>35</v>
      </c>
      <c r="AF59" s="223">
        <v>365</v>
      </c>
      <c r="AG59" s="224">
        <v>240</v>
      </c>
      <c r="AH59" s="201">
        <v>7.93</v>
      </c>
      <c r="AI59" s="179">
        <v>1.04</v>
      </c>
      <c r="AJ59" s="179"/>
      <c r="AK59" s="202">
        <f t="shared" si="2"/>
        <v>8.969999999999999</v>
      </c>
    </row>
    <row r="60" spans="1:37" ht="15">
      <c r="A60" s="135">
        <v>51</v>
      </c>
      <c r="B60" s="137"/>
      <c r="C60" s="128">
        <v>10</v>
      </c>
      <c r="D60" s="128"/>
      <c r="E60" s="128"/>
      <c r="F60" s="128"/>
      <c r="G60" s="130">
        <v>1978</v>
      </c>
      <c r="H60" s="130" t="s">
        <v>28</v>
      </c>
      <c r="I60" s="130">
        <v>2</v>
      </c>
      <c r="J60" s="130" t="s">
        <v>29</v>
      </c>
      <c r="K60" s="157">
        <f>M60*288/342.6</f>
        <v>667.4713112403905</v>
      </c>
      <c r="L60" s="157">
        <f>M60*L58/M58</f>
        <v>3930.873756597899</v>
      </c>
      <c r="M60" s="157">
        <f>N60*M59/N59</f>
        <v>794.0127473297146</v>
      </c>
      <c r="N60" s="158">
        <v>728.1</v>
      </c>
      <c r="O60" s="133">
        <v>16</v>
      </c>
      <c r="P60" s="128"/>
      <c r="Q60" s="128"/>
      <c r="R60" s="128">
        <v>2</v>
      </c>
      <c r="S60" s="157">
        <v>56.4</v>
      </c>
      <c r="T60" s="157"/>
      <c r="U60" s="157"/>
      <c r="V60" s="157">
        <v>650</v>
      </c>
      <c r="W60" s="134" t="s">
        <v>30</v>
      </c>
      <c r="X60" s="134" t="s">
        <v>31</v>
      </c>
      <c r="Y60" s="136" t="s">
        <v>32</v>
      </c>
      <c r="Z60" s="136" t="s">
        <v>32</v>
      </c>
      <c r="AA60" s="136" t="s">
        <v>32</v>
      </c>
      <c r="AB60" s="136" t="s">
        <v>52</v>
      </c>
      <c r="AC60" s="130" t="s">
        <v>33</v>
      </c>
      <c r="AD60" s="130" t="s">
        <v>34</v>
      </c>
      <c r="AE60" s="130" t="s">
        <v>35</v>
      </c>
      <c r="AF60" s="223">
        <v>365</v>
      </c>
      <c r="AG60" s="224">
        <v>240</v>
      </c>
      <c r="AH60" s="201">
        <v>7.79</v>
      </c>
      <c r="AI60" s="179">
        <v>1.04</v>
      </c>
      <c r="AJ60" s="179"/>
      <c r="AK60" s="202">
        <f t="shared" si="2"/>
        <v>8.83</v>
      </c>
    </row>
    <row r="61" spans="1:37" s="47" customFormat="1" ht="15">
      <c r="A61" s="135">
        <v>52</v>
      </c>
      <c r="B61" s="137" t="s">
        <v>44</v>
      </c>
      <c r="C61" s="128">
        <v>1</v>
      </c>
      <c r="D61" s="128"/>
      <c r="E61" s="128"/>
      <c r="F61" s="128"/>
      <c r="G61" s="130">
        <v>1989</v>
      </c>
      <c r="H61" s="130" t="s">
        <v>28</v>
      </c>
      <c r="I61" s="130">
        <v>4</v>
      </c>
      <c r="J61" s="130" t="s">
        <v>29</v>
      </c>
      <c r="K61" s="157">
        <f>M61*1044/2801.6</f>
        <v>371.1908909194746</v>
      </c>
      <c r="L61" s="157">
        <v>4084</v>
      </c>
      <c r="M61" s="157">
        <f aca="true" t="shared" si="5" ref="M61:M71">N61+S61</f>
        <v>996.1</v>
      </c>
      <c r="N61" s="157">
        <v>888</v>
      </c>
      <c r="O61" s="133">
        <v>16</v>
      </c>
      <c r="P61" s="128"/>
      <c r="Q61" s="128"/>
      <c r="R61" s="128">
        <v>1</v>
      </c>
      <c r="S61" s="157">
        <v>108.1</v>
      </c>
      <c r="T61" s="157"/>
      <c r="U61" s="157">
        <v>225.3</v>
      </c>
      <c r="V61" s="157">
        <v>225.3</v>
      </c>
      <c r="W61" s="134" t="s">
        <v>30</v>
      </c>
      <c r="X61" s="134" t="s">
        <v>31</v>
      </c>
      <c r="Y61" s="136" t="s">
        <v>32</v>
      </c>
      <c r="Z61" s="136" t="s">
        <v>32</v>
      </c>
      <c r="AA61" s="136" t="s">
        <v>32</v>
      </c>
      <c r="AB61" s="136" t="s">
        <v>52</v>
      </c>
      <c r="AC61" s="130" t="s">
        <v>33</v>
      </c>
      <c r="AD61" s="130" t="s">
        <v>34</v>
      </c>
      <c r="AE61" s="130" t="s">
        <v>35</v>
      </c>
      <c r="AF61" s="223">
        <v>547</v>
      </c>
      <c r="AG61" s="224">
        <v>250</v>
      </c>
      <c r="AH61" s="207">
        <v>10.76</v>
      </c>
      <c r="AI61" s="179">
        <v>1.04</v>
      </c>
      <c r="AJ61" s="127"/>
      <c r="AK61" s="202">
        <f t="shared" si="2"/>
        <v>11.8</v>
      </c>
    </row>
    <row r="62" spans="1:37" s="47" customFormat="1" ht="15">
      <c r="A62" s="135">
        <v>53</v>
      </c>
      <c r="B62" s="137"/>
      <c r="C62" s="128">
        <v>2</v>
      </c>
      <c r="D62" s="128"/>
      <c r="E62" s="128"/>
      <c r="F62" s="128"/>
      <c r="G62" s="130">
        <v>1989</v>
      </c>
      <c r="H62" s="130" t="s">
        <v>28</v>
      </c>
      <c r="I62" s="130">
        <v>4</v>
      </c>
      <c r="J62" s="130" t="s">
        <v>29</v>
      </c>
      <c r="K62" s="157">
        <f>M62*1044/2801.6</f>
        <v>383.5626784694461</v>
      </c>
      <c r="L62" s="157">
        <v>4084</v>
      </c>
      <c r="M62" s="157">
        <f>N62+S62+T62</f>
        <v>1029.3000000000002</v>
      </c>
      <c r="N62" s="157">
        <v>907.1</v>
      </c>
      <c r="O62" s="133">
        <v>16</v>
      </c>
      <c r="P62" s="128"/>
      <c r="Q62" s="128"/>
      <c r="R62" s="128">
        <v>1</v>
      </c>
      <c r="S62" s="157">
        <v>114.2</v>
      </c>
      <c r="T62" s="157">
        <v>8</v>
      </c>
      <c r="U62" s="157">
        <v>225.3</v>
      </c>
      <c r="V62" s="157">
        <v>225.3</v>
      </c>
      <c r="W62" s="134" t="s">
        <v>30</v>
      </c>
      <c r="X62" s="134" t="s">
        <v>31</v>
      </c>
      <c r="Y62" s="136" t="s">
        <v>32</v>
      </c>
      <c r="Z62" s="136" t="s">
        <v>32</v>
      </c>
      <c r="AA62" s="136" t="s">
        <v>32</v>
      </c>
      <c r="AB62" s="136" t="s">
        <v>52</v>
      </c>
      <c r="AC62" s="130" t="s">
        <v>33</v>
      </c>
      <c r="AD62" s="130" t="s">
        <v>34</v>
      </c>
      <c r="AE62" s="130" t="s">
        <v>35</v>
      </c>
      <c r="AF62" s="223">
        <v>547</v>
      </c>
      <c r="AG62" s="224">
        <v>250</v>
      </c>
      <c r="AH62" s="207">
        <v>10.76</v>
      </c>
      <c r="AI62" s="179">
        <v>1.04</v>
      </c>
      <c r="AJ62" s="127"/>
      <c r="AK62" s="202">
        <f t="shared" si="2"/>
        <v>11.8</v>
      </c>
    </row>
    <row r="63" spans="1:37" s="47" customFormat="1" ht="15">
      <c r="A63" s="135">
        <v>54</v>
      </c>
      <c r="B63" s="137"/>
      <c r="C63" s="128">
        <v>3</v>
      </c>
      <c r="D63" s="128"/>
      <c r="E63" s="128"/>
      <c r="F63" s="128"/>
      <c r="G63" s="130">
        <v>1990</v>
      </c>
      <c r="H63" s="130" t="s">
        <v>28</v>
      </c>
      <c r="I63" s="130">
        <v>4</v>
      </c>
      <c r="J63" s="130" t="s">
        <v>29</v>
      </c>
      <c r="K63" s="157">
        <f>M63*1044/2801.6</f>
        <v>369.5512564249001</v>
      </c>
      <c r="L63" s="157">
        <v>4089</v>
      </c>
      <c r="M63" s="157">
        <f t="shared" si="5"/>
        <v>991.7</v>
      </c>
      <c r="N63" s="157">
        <v>874.7</v>
      </c>
      <c r="O63" s="133">
        <v>16</v>
      </c>
      <c r="P63" s="128"/>
      <c r="Q63" s="128"/>
      <c r="R63" s="128">
        <v>1</v>
      </c>
      <c r="S63" s="157">
        <v>117</v>
      </c>
      <c r="T63" s="157"/>
      <c r="U63" s="157">
        <v>225.3</v>
      </c>
      <c r="V63" s="157">
        <v>225.3</v>
      </c>
      <c r="W63" s="134" t="s">
        <v>30</v>
      </c>
      <c r="X63" s="134" t="s">
        <v>31</v>
      </c>
      <c r="Y63" s="136" t="s">
        <v>32</v>
      </c>
      <c r="Z63" s="136" t="s">
        <v>32</v>
      </c>
      <c r="AA63" s="136" t="s">
        <v>32</v>
      </c>
      <c r="AB63" s="136" t="s">
        <v>52</v>
      </c>
      <c r="AC63" s="130" t="s">
        <v>33</v>
      </c>
      <c r="AD63" s="130" t="s">
        <v>34</v>
      </c>
      <c r="AE63" s="130" t="s">
        <v>35</v>
      </c>
      <c r="AF63" s="223">
        <v>547</v>
      </c>
      <c r="AG63" s="224">
        <v>250</v>
      </c>
      <c r="AH63" s="201">
        <v>10.76</v>
      </c>
      <c r="AI63" s="179">
        <v>1.04</v>
      </c>
      <c r="AJ63" s="127"/>
      <c r="AK63" s="202">
        <f t="shared" si="2"/>
        <v>11.8</v>
      </c>
    </row>
    <row r="64" spans="1:37" s="47" customFormat="1" ht="15">
      <c r="A64" s="135">
        <v>55</v>
      </c>
      <c r="B64" s="137"/>
      <c r="C64" s="128">
        <v>4</v>
      </c>
      <c r="D64" s="128"/>
      <c r="E64" s="128"/>
      <c r="F64" s="128"/>
      <c r="G64" s="130">
        <v>1995</v>
      </c>
      <c r="H64" s="130" t="s">
        <v>28</v>
      </c>
      <c r="I64" s="130">
        <v>4</v>
      </c>
      <c r="J64" s="130" t="s">
        <v>29</v>
      </c>
      <c r="K64" s="157">
        <v>428</v>
      </c>
      <c r="L64" s="157">
        <v>3801</v>
      </c>
      <c r="M64" s="157">
        <f t="shared" si="5"/>
        <v>953.4000000000001</v>
      </c>
      <c r="N64" s="157">
        <v>852.2</v>
      </c>
      <c r="O64" s="133">
        <v>16</v>
      </c>
      <c r="P64" s="128"/>
      <c r="Q64" s="128"/>
      <c r="R64" s="128">
        <v>1</v>
      </c>
      <c r="S64" s="157">
        <v>101.2</v>
      </c>
      <c r="T64" s="157"/>
      <c r="U64" s="157"/>
      <c r="V64" s="157">
        <v>206.6</v>
      </c>
      <c r="W64" s="134" t="s">
        <v>30</v>
      </c>
      <c r="X64" s="134" t="s">
        <v>31</v>
      </c>
      <c r="Y64" s="136" t="s">
        <v>32</v>
      </c>
      <c r="Z64" s="136" t="s">
        <v>32</v>
      </c>
      <c r="AA64" s="136" t="s">
        <v>32</v>
      </c>
      <c r="AB64" s="136" t="s">
        <v>52</v>
      </c>
      <c r="AC64" s="130" t="s">
        <v>33</v>
      </c>
      <c r="AD64" s="130" t="s">
        <v>34</v>
      </c>
      <c r="AE64" s="130" t="s">
        <v>35</v>
      </c>
      <c r="AF64" s="223">
        <v>547</v>
      </c>
      <c r="AG64" s="224">
        <v>250</v>
      </c>
      <c r="AH64" s="201">
        <v>10.72</v>
      </c>
      <c r="AI64" s="179">
        <v>1.04</v>
      </c>
      <c r="AJ64" s="127"/>
      <c r="AK64" s="202">
        <f t="shared" si="2"/>
        <v>11.760000000000002</v>
      </c>
    </row>
    <row r="65" spans="1:37" s="47" customFormat="1" ht="15">
      <c r="A65" s="135">
        <v>56</v>
      </c>
      <c r="B65" s="137" t="s">
        <v>45</v>
      </c>
      <c r="C65" s="128">
        <v>1</v>
      </c>
      <c r="D65" s="128"/>
      <c r="E65" s="128"/>
      <c r="F65" s="128"/>
      <c r="G65" s="130">
        <v>1972</v>
      </c>
      <c r="H65" s="130" t="s">
        <v>83</v>
      </c>
      <c r="I65" s="130">
        <v>1</v>
      </c>
      <c r="J65" s="130" t="s">
        <v>29</v>
      </c>
      <c r="K65" s="157">
        <f>M65*137/123.3</f>
        <v>165.2222222222222</v>
      </c>
      <c r="L65" s="157">
        <f>482+50</f>
        <v>532</v>
      </c>
      <c r="M65" s="157">
        <f t="shared" si="5"/>
        <v>148.7</v>
      </c>
      <c r="N65" s="157">
        <v>148.7</v>
      </c>
      <c r="O65" s="133">
        <v>4</v>
      </c>
      <c r="P65" s="128"/>
      <c r="Q65" s="128"/>
      <c r="R65" s="128">
        <v>1</v>
      </c>
      <c r="S65" s="162"/>
      <c r="T65" s="162"/>
      <c r="U65" s="157"/>
      <c r="V65" s="157"/>
      <c r="W65" s="134" t="s">
        <v>85</v>
      </c>
      <c r="X65" s="134"/>
      <c r="Y65" s="136" t="s">
        <v>32</v>
      </c>
      <c r="Z65" s="136" t="s">
        <v>52</v>
      </c>
      <c r="AA65" s="136" t="s">
        <v>52</v>
      </c>
      <c r="AB65" s="136" t="s">
        <v>52</v>
      </c>
      <c r="AC65" s="130" t="s">
        <v>33</v>
      </c>
      <c r="AD65" s="130" t="s">
        <v>34</v>
      </c>
      <c r="AE65" s="163" t="s">
        <v>74</v>
      </c>
      <c r="AF65" s="229"/>
      <c r="AG65" s="230"/>
      <c r="AH65" s="201">
        <v>4.59</v>
      </c>
      <c r="AI65" s="179">
        <v>1.04</v>
      </c>
      <c r="AJ65" s="127"/>
      <c r="AK65" s="202">
        <f t="shared" si="2"/>
        <v>5.63</v>
      </c>
    </row>
    <row r="66" spans="1:37" s="47" customFormat="1" ht="15">
      <c r="A66" s="135">
        <v>57</v>
      </c>
      <c r="B66" s="137"/>
      <c r="C66" s="128">
        <v>2</v>
      </c>
      <c r="D66" s="128"/>
      <c r="E66" s="128"/>
      <c r="F66" s="128"/>
      <c r="G66" s="130">
        <v>1972</v>
      </c>
      <c r="H66" s="130" t="s">
        <v>83</v>
      </c>
      <c r="I66" s="130">
        <v>1</v>
      </c>
      <c r="J66" s="130" t="s">
        <v>29</v>
      </c>
      <c r="K66" s="157">
        <f>M66*137/123.3</f>
        <v>153.11111111111114</v>
      </c>
      <c r="L66" s="157">
        <v>482</v>
      </c>
      <c r="M66" s="157">
        <f t="shared" si="5"/>
        <v>137.8</v>
      </c>
      <c r="N66" s="157">
        <v>137.8</v>
      </c>
      <c r="O66" s="133">
        <v>4</v>
      </c>
      <c r="P66" s="128"/>
      <c r="Q66" s="128"/>
      <c r="R66" s="128">
        <v>1</v>
      </c>
      <c r="S66" s="162"/>
      <c r="T66" s="162"/>
      <c r="U66" s="157"/>
      <c r="V66" s="157"/>
      <c r="W66" s="134" t="s">
        <v>85</v>
      </c>
      <c r="X66" s="134"/>
      <c r="Y66" s="136" t="s">
        <v>32</v>
      </c>
      <c r="Z66" s="136" t="s">
        <v>52</v>
      </c>
      <c r="AA66" s="136" t="s">
        <v>52</v>
      </c>
      <c r="AB66" s="136" t="s">
        <v>52</v>
      </c>
      <c r="AC66" s="130" t="s">
        <v>33</v>
      </c>
      <c r="AD66" s="130" t="s">
        <v>34</v>
      </c>
      <c r="AE66" s="163" t="s">
        <v>74</v>
      </c>
      <c r="AF66" s="229"/>
      <c r="AG66" s="230"/>
      <c r="AH66" s="201">
        <v>4.59</v>
      </c>
      <c r="AI66" s="179">
        <v>1.04</v>
      </c>
      <c r="AJ66" s="127"/>
      <c r="AK66" s="202">
        <f t="shared" si="2"/>
        <v>5.63</v>
      </c>
    </row>
    <row r="67" spans="1:37" s="47" customFormat="1" ht="15">
      <c r="A67" s="135">
        <v>58</v>
      </c>
      <c r="B67" s="137"/>
      <c r="C67" s="128">
        <v>3</v>
      </c>
      <c r="D67" s="128"/>
      <c r="E67" s="128"/>
      <c r="F67" s="128"/>
      <c r="G67" s="130">
        <v>1973</v>
      </c>
      <c r="H67" s="130" t="s">
        <v>83</v>
      </c>
      <c r="I67" s="130">
        <v>1</v>
      </c>
      <c r="J67" s="130" t="s">
        <v>29</v>
      </c>
      <c r="K67" s="157">
        <f>M67*137/123.3</f>
        <v>185.77777777777777</v>
      </c>
      <c r="L67" s="157">
        <v>482</v>
      </c>
      <c r="M67" s="157">
        <f t="shared" si="5"/>
        <v>167.2</v>
      </c>
      <c r="N67" s="157">
        <v>167.2</v>
      </c>
      <c r="O67" s="133">
        <v>4</v>
      </c>
      <c r="P67" s="128"/>
      <c r="Q67" s="128"/>
      <c r="R67" s="128">
        <v>1</v>
      </c>
      <c r="S67" s="162"/>
      <c r="T67" s="162"/>
      <c r="U67" s="157"/>
      <c r="V67" s="157"/>
      <c r="W67" s="134" t="s">
        <v>85</v>
      </c>
      <c r="X67" s="134" t="s">
        <v>31</v>
      </c>
      <c r="Y67" s="136" t="s">
        <v>32</v>
      </c>
      <c r="Z67" s="136" t="s">
        <v>52</v>
      </c>
      <c r="AA67" s="136" t="s">
        <v>32</v>
      </c>
      <c r="AB67" s="136" t="s">
        <v>52</v>
      </c>
      <c r="AC67" s="130" t="s">
        <v>33</v>
      </c>
      <c r="AD67" s="130" t="s">
        <v>34</v>
      </c>
      <c r="AE67" s="163" t="s">
        <v>74</v>
      </c>
      <c r="AF67" s="229"/>
      <c r="AG67" s="230"/>
      <c r="AH67" s="201">
        <v>4.59</v>
      </c>
      <c r="AI67" s="179">
        <v>1.04</v>
      </c>
      <c r="AJ67" s="127"/>
      <c r="AK67" s="202">
        <f t="shared" si="2"/>
        <v>5.63</v>
      </c>
    </row>
    <row r="68" spans="1:37" s="47" customFormat="1" ht="15">
      <c r="A68" s="135">
        <v>59</v>
      </c>
      <c r="B68" s="137"/>
      <c r="C68" s="128">
        <v>57</v>
      </c>
      <c r="D68" s="128"/>
      <c r="E68" s="128"/>
      <c r="F68" s="128"/>
      <c r="G68" s="130">
        <v>1932</v>
      </c>
      <c r="H68" s="130" t="s">
        <v>46</v>
      </c>
      <c r="I68" s="130">
        <v>1</v>
      </c>
      <c r="J68" s="130" t="s">
        <v>29</v>
      </c>
      <c r="K68" s="157">
        <f>M68*137/123.3</f>
        <v>216.11111111111111</v>
      </c>
      <c r="L68" s="157">
        <v>960</v>
      </c>
      <c r="M68" s="157">
        <f t="shared" si="5"/>
        <v>194.5</v>
      </c>
      <c r="N68" s="157">
        <v>194.5</v>
      </c>
      <c r="O68" s="133">
        <v>9</v>
      </c>
      <c r="P68" s="128"/>
      <c r="Q68" s="128"/>
      <c r="R68" s="128">
        <v>1</v>
      </c>
      <c r="S68" s="162"/>
      <c r="T68" s="162"/>
      <c r="U68" s="157"/>
      <c r="V68" s="157"/>
      <c r="W68" s="134" t="s">
        <v>30</v>
      </c>
      <c r="X68" s="134"/>
      <c r="Y68" s="136" t="s">
        <v>32</v>
      </c>
      <c r="Z68" s="136" t="s">
        <v>52</v>
      </c>
      <c r="AA68" s="136" t="s">
        <v>52</v>
      </c>
      <c r="AB68" s="136" t="s">
        <v>52</v>
      </c>
      <c r="AC68" s="136" t="s">
        <v>52</v>
      </c>
      <c r="AD68" s="165" t="s">
        <v>84</v>
      </c>
      <c r="AE68" s="163" t="s">
        <v>74</v>
      </c>
      <c r="AF68" s="229"/>
      <c r="AG68" s="230"/>
      <c r="AH68" s="201">
        <v>7.74</v>
      </c>
      <c r="AI68" s="179">
        <v>1.04</v>
      </c>
      <c r="AJ68" s="127"/>
      <c r="AK68" s="202">
        <f t="shared" si="2"/>
        <v>8.780000000000001</v>
      </c>
    </row>
    <row r="69" spans="1:37" s="47" customFormat="1" ht="15">
      <c r="A69" s="135">
        <v>60</v>
      </c>
      <c r="B69" s="137"/>
      <c r="C69" s="128">
        <v>60</v>
      </c>
      <c r="D69" s="128"/>
      <c r="E69" s="128"/>
      <c r="F69" s="128"/>
      <c r="G69" s="130">
        <v>1983</v>
      </c>
      <c r="H69" s="130" t="s">
        <v>28</v>
      </c>
      <c r="I69" s="130">
        <v>2</v>
      </c>
      <c r="J69" s="130" t="s">
        <v>29</v>
      </c>
      <c r="K69" s="157">
        <v>600</v>
      </c>
      <c r="L69" s="157">
        <v>3299</v>
      </c>
      <c r="M69" s="157">
        <f t="shared" si="5"/>
        <v>685.9</v>
      </c>
      <c r="N69" s="157">
        <v>620.8</v>
      </c>
      <c r="O69" s="133">
        <v>16</v>
      </c>
      <c r="P69" s="128"/>
      <c r="Q69" s="128"/>
      <c r="R69" s="128">
        <v>2</v>
      </c>
      <c r="S69" s="157">
        <v>65.1</v>
      </c>
      <c r="T69" s="157"/>
      <c r="U69" s="157"/>
      <c r="V69" s="157"/>
      <c r="W69" s="134" t="s">
        <v>30</v>
      </c>
      <c r="X69" s="138" t="s">
        <v>37</v>
      </c>
      <c r="Y69" s="136" t="s">
        <v>32</v>
      </c>
      <c r="Z69" s="136" t="s">
        <v>32</v>
      </c>
      <c r="AA69" s="136" t="s">
        <v>32</v>
      </c>
      <c r="AB69" s="136" t="s">
        <v>52</v>
      </c>
      <c r="AC69" s="130" t="s">
        <v>33</v>
      </c>
      <c r="AD69" s="130" t="s">
        <v>34</v>
      </c>
      <c r="AE69" s="130" t="s">
        <v>35</v>
      </c>
      <c r="AF69" s="223">
        <v>160</v>
      </c>
      <c r="AG69" s="224">
        <v>390</v>
      </c>
      <c r="AH69" s="201">
        <v>8.07</v>
      </c>
      <c r="AI69" s="179">
        <v>1.04</v>
      </c>
      <c r="AJ69" s="127"/>
      <c r="AK69" s="202">
        <f t="shared" si="2"/>
        <v>9.11</v>
      </c>
    </row>
    <row r="70" spans="1:37" s="47" customFormat="1" ht="15">
      <c r="A70" s="135">
        <v>61</v>
      </c>
      <c r="B70" s="137"/>
      <c r="C70" s="128">
        <v>64</v>
      </c>
      <c r="D70" s="128"/>
      <c r="E70" s="128"/>
      <c r="F70" s="128"/>
      <c r="G70" s="130">
        <v>1969</v>
      </c>
      <c r="H70" s="130" t="s">
        <v>28</v>
      </c>
      <c r="I70" s="130">
        <v>2</v>
      </c>
      <c r="J70" s="130" t="s">
        <v>29</v>
      </c>
      <c r="K70" s="157">
        <v>113.1</v>
      </c>
      <c r="L70" s="157">
        <v>656</v>
      </c>
      <c r="M70" s="157">
        <f t="shared" si="5"/>
        <v>130</v>
      </c>
      <c r="N70" s="157">
        <v>130</v>
      </c>
      <c r="O70" s="133">
        <v>4</v>
      </c>
      <c r="P70" s="128"/>
      <c r="Q70" s="128"/>
      <c r="R70" s="128">
        <v>1</v>
      </c>
      <c r="S70" s="157"/>
      <c r="T70" s="157"/>
      <c r="U70" s="157"/>
      <c r="V70" s="157"/>
      <c r="W70" s="134" t="s">
        <v>30</v>
      </c>
      <c r="X70" s="138" t="s">
        <v>37</v>
      </c>
      <c r="Y70" s="136" t="s">
        <v>32</v>
      </c>
      <c r="Z70" s="136" t="s">
        <v>32</v>
      </c>
      <c r="AA70" s="136" t="s">
        <v>32</v>
      </c>
      <c r="AB70" s="136" t="s">
        <v>52</v>
      </c>
      <c r="AC70" s="130" t="s">
        <v>33</v>
      </c>
      <c r="AD70" s="130" t="s">
        <v>34</v>
      </c>
      <c r="AE70" s="130" t="s">
        <v>35</v>
      </c>
      <c r="AF70" s="223">
        <v>160</v>
      </c>
      <c r="AG70" s="224">
        <v>390</v>
      </c>
      <c r="AH70" s="201">
        <v>8.29</v>
      </c>
      <c r="AI70" s="179">
        <v>1.04</v>
      </c>
      <c r="AJ70" s="127"/>
      <c r="AK70" s="202">
        <f t="shared" si="2"/>
        <v>9.329999999999998</v>
      </c>
    </row>
    <row r="71" spans="1:37" s="47" customFormat="1" ht="15">
      <c r="A71" s="135">
        <v>62</v>
      </c>
      <c r="B71" s="137"/>
      <c r="C71" s="128">
        <v>91</v>
      </c>
      <c r="D71" s="128"/>
      <c r="E71" s="128"/>
      <c r="F71" s="128"/>
      <c r="G71" s="130">
        <v>1991</v>
      </c>
      <c r="H71" s="130" t="s">
        <v>28</v>
      </c>
      <c r="I71" s="130">
        <v>9</v>
      </c>
      <c r="J71" s="130" t="s">
        <v>38</v>
      </c>
      <c r="K71" s="157">
        <f>V71</f>
        <v>1218.9</v>
      </c>
      <c r="L71" s="157">
        <v>31752</v>
      </c>
      <c r="M71" s="157">
        <f t="shared" si="5"/>
        <v>8239.1</v>
      </c>
      <c r="N71" s="157">
        <v>6963.5</v>
      </c>
      <c r="O71" s="133">
        <v>121</v>
      </c>
      <c r="P71" s="128"/>
      <c r="Q71" s="128"/>
      <c r="R71" s="128">
        <v>4</v>
      </c>
      <c r="S71" s="157">
        <v>1275.6</v>
      </c>
      <c r="T71" s="157"/>
      <c r="U71" s="161"/>
      <c r="V71" s="160">
        <v>1218.9</v>
      </c>
      <c r="W71" s="134" t="s">
        <v>30</v>
      </c>
      <c r="X71" s="138" t="s">
        <v>37</v>
      </c>
      <c r="Y71" s="136" t="s">
        <v>32</v>
      </c>
      <c r="Z71" s="136" t="s">
        <v>32</v>
      </c>
      <c r="AA71" s="136" t="s">
        <v>32</v>
      </c>
      <c r="AB71" s="136" t="s">
        <v>32</v>
      </c>
      <c r="AC71" s="130" t="s">
        <v>33</v>
      </c>
      <c r="AD71" s="130" t="s">
        <v>34</v>
      </c>
      <c r="AE71" s="130" t="s">
        <v>35</v>
      </c>
      <c r="AF71" s="223">
        <v>1902</v>
      </c>
      <c r="AG71" s="224">
        <v>704</v>
      </c>
      <c r="AH71" s="201">
        <v>10.26</v>
      </c>
      <c r="AI71" s="179">
        <v>1.04</v>
      </c>
      <c r="AJ71" s="127">
        <v>12.8</v>
      </c>
      <c r="AK71" s="202">
        <f t="shared" si="2"/>
        <v>24.1</v>
      </c>
    </row>
    <row r="72" spans="1:37" s="47" customFormat="1" ht="15.75" thickBot="1">
      <c r="A72" s="135">
        <v>63</v>
      </c>
      <c r="B72" s="137" t="s">
        <v>47</v>
      </c>
      <c r="C72" s="128">
        <v>1</v>
      </c>
      <c r="D72" s="128"/>
      <c r="E72" s="128"/>
      <c r="F72" s="128"/>
      <c r="G72" s="130">
        <v>1988</v>
      </c>
      <c r="H72" s="130" t="s">
        <v>42</v>
      </c>
      <c r="I72" s="130">
        <v>5</v>
      </c>
      <c r="J72" s="130" t="s">
        <v>38</v>
      </c>
      <c r="K72" s="157">
        <f>V72</f>
        <v>842.4799999999999</v>
      </c>
      <c r="L72" s="157">
        <v>15829</v>
      </c>
      <c r="M72" s="157">
        <f>N72+S72</f>
        <v>4723.099999999999</v>
      </c>
      <c r="N72" s="157">
        <v>4230.2</v>
      </c>
      <c r="O72" s="133">
        <v>81</v>
      </c>
      <c r="P72" s="128"/>
      <c r="Q72" s="128"/>
      <c r="R72" s="128">
        <v>6</v>
      </c>
      <c r="S72" s="157">
        <v>492.9</v>
      </c>
      <c r="T72" s="157"/>
      <c r="U72" s="157"/>
      <c r="V72" s="157">
        <f>4237.4/5-5</f>
        <v>842.4799999999999</v>
      </c>
      <c r="W72" s="134" t="s">
        <v>30</v>
      </c>
      <c r="X72" s="138" t="s">
        <v>37</v>
      </c>
      <c r="Y72" s="136" t="s">
        <v>32</v>
      </c>
      <c r="Z72" s="136" t="s">
        <v>32</v>
      </c>
      <c r="AA72" s="136" t="s">
        <v>32</v>
      </c>
      <c r="AB72" s="136" t="s">
        <v>52</v>
      </c>
      <c r="AC72" s="130" t="s">
        <v>33</v>
      </c>
      <c r="AD72" s="130" t="s">
        <v>34</v>
      </c>
      <c r="AE72" s="130" t="s">
        <v>35</v>
      </c>
      <c r="AF72" s="223">
        <v>1052</v>
      </c>
      <c r="AG72" s="224">
        <v>669</v>
      </c>
      <c r="AH72" s="211">
        <v>9.45</v>
      </c>
      <c r="AI72" s="190">
        <v>1.04</v>
      </c>
      <c r="AJ72" s="191"/>
      <c r="AK72" s="202">
        <f t="shared" si="2"/>
        <v>10.489999999999998</v>
      </c>
    </row>
    <row r="73" spans="1:37" ht="15">
      <c r="A73" s="105">
        <v>1</v>
      </c>
      <c r="B73" s="105">
        <v>2</v>
      </c>
      <c r="C73" s="105">
        <v>3</v>
      </c>
      <c r="D73" s="105"/>
      <c r="E73" s="105"/>
      <c r="F73" s="105"/>
      <c r="G73" s="105">
        <v>4</v>
      </c>
      <c r="H73" s="105">
        <v>5</v>
      </c>
      <c r="I73" s="105">
        <v>6</v>
      </c>
      <c r="J73" s="105">
        <v>7</v>
      </c>
      <c r="K73" s="105">
        <v>8</v>
      </c>
      <c r="L73" s="105">
        <v>9</v>
      </c>
      <c r="M73" s="105">
        <v>9</v>
      </c>
      <c r="N73" s="105">
        <v>10</v>
      </c>
      <c r="O73" s="105">
        <v>11</v>
      </c>
      <c r="P73" s="105">
        <v>13</v>
      </c>
      <c r="Q73" s="105">
        <v>14</v>
      </c>
      <c r="R73" s="105">
        <v>12</v>
      </c>
      <c r="S73" s="105">
        <v>13</v>
      </c>
      <c r="T73" s="105"/>
      <c r="U73" s="105">
        <v>14</v>
      </c>
      <c r="V73" s="105">
        <v>15</v>
      </c>
      <c r="W73" s="105">
        <v>16</v>
      </c>
      <c r="X73" s="105">
        <v>17</v>
      </c>
      <c r="Y73" s="105">
        <v>18</v>
      </c>
      <c r="Z73" s="105">
        <v>19</v>
      </c>
      <c r="AA73" s="105">
        <v>20</v>
      </c>
      <c r="AB73" s="105">
        <v>21</v>
      </c>
      <c r="AC73" s="105">
        <v>22</v>
      </c>
      <c r="AD73" s="105">
        <v>23</v>
      </c>
      <c r="AE73" s="105">
        <v>24</v>
      </c>
      <c r="AF73" s="105">
        <v>25</v>
      </c>
      <c r="AG73" s="175">
        <v>26</v>
      </c>
      <c r="AH73" s="187">
        <v>28</v>
      </c>
      <c r="AI73" s="188">
        <v>29</v>
      </c>
      <c r="AJ73" s="189">
        <v>30</v>
      </c>
      <c r="AK73" s="195">
        <v>31</v>
      </c>
    </row>
    <row r="74" spans="1:37" s="93" customFormat="1" ht="15">
      <c r="A74" s="139">
        <v>64</v>
      </c>
      <c r="B74" s="140" t="s">
        <v>39</v>
      </c>
      <c r="C74" s="141">
        <v>3</v>
      </c>
      <c r="D74" s="141"/>
      <c r="E74" s="141"/>
      <c r="F74" s="141"/>
      <c r="G74" s="142">
        <v>1974</v>
      </c>
      <c r="H74" s="142" t="s">
        <v>42</v>
      </c>
      <c r="I74" s="142">
        <v>2</v>
      </c>
      <c r="J74" s="142" t="s">
        <v>38</v>
      </c>
      <c r="K74" s="143">
        <f>V74</f>
        <v>530.447</v>
      </c>
      <c r="L74" s="144">
        <v>3789</v>
      </c>
      <c r="M74" s="164">
        <f>N74+S74</f>
        <v>879</v>
      </c>
      <c r="N74" s="143">
        <v>657.4</v>
      </c>
      <c r="O74" s="144">
        <v>32</v>
      </c>
      <c r="P74" s="141"/>
      <c r="Q74" s="141"/>
      <c r="R74" s="141">
        <v>2</v>
      </c>
      <c r="S74" s="164">
        <v>221.6</v>
      </c>
      <c r="T74" s="164"/>
      <c r="U74" s="143"/>
      <c r="V74" s="164">
        <f>4.8*(3.25+2.8+2.8+3.35+3.1+3.1+2.8+2.7+3.35+2.8+2.8+3.33+3.1+3.3+3.3+2.8+2.76+3.33)+3.35*(6.2+6.2+3+3.7+2.5+6.2+6.22+6.22+3+6.2+6.18)+1.42*57.2</f>
        <v>530.447</v>
      </c>
      <c r="W74" s="143" t="s">
        <v>30</v>
      </c>
      <c r="X74" s="138" t="s">
        <v>37</v>
      </c>
      <c r="Y74" s="145" t="s">
        <v>32</v>
      </c>
      <c r="Z74" s="145" t="s">
        <v>32</v>
      </c>
      <c r="AA74" s="145" t="s">
        <v>32</v>
      </c>
      <c r="AB74" s="145" t="s">
        <v>52</v>
      </c>
      <c r="AC74" s="145" t="s">
        <v>52</v>
      </c>
      <c r="AD74" s="165" t="s">
        <v>84</v>
      </c>
      <c r="AE74" s="142" t="s">
        <v>35</v>
      </c>
      <c r="AF74" s="146">
        <v>300</v>
      </c>
      <c r="AG74" s="176"/>
      <c r="AH74" s="206">
        <v>7.65</v>
      </c>
      <c r="AI74" s="192">
        <v>1.04</v>
      </c>
      <c r="AJ74" s="192"/>
      <c r="AK74" s="196">
        <f aca="true" t="shared" si="6" ref="AK74:AK90">SUM(AH74:AJ74)</f>
        <v>8.690000000000001</v>
      </c>
    </row>
    <row r="75" spans="1:37" s="47" customFormat="1" ht="15">
      <c r="A75" s="135">
        <v>65</v>
      </c>
      <c r="B75" s="137"/>
      <c r="C75" s="128">
        <v>4</v>
      </c>
      <c r="D75" s="128"/>
      <c r="E75" s="128"/>
      <c r="F75" s="128"/>
      <c r="G75" s="130">
        <v>1979</v>
      </c>
      <c r="H75" s="130" t="s">
        <v>42</v>
      </c>
      <c r="I75" s="130">
        <v>2</v>
      </c>
      <c r="J75" s="130" t="s">
        <v>29</v>
      </c>
      <c r="K75" s="157">
        <f>M75*288/342.6</f>
        <v>1012.1190893169877</v>
      </c>
      <c r="L75" s="157">
        <v>4409</v>
      </c>
      <c r="M75" s="157">
        <f>N75+S75</f>
        <v>1204</v>
      </c>
      <c r="N75" s="134">
        <v>1074.4</v>
      </c>
      <c r="O75" s="133">
        <v>28</v>
      </c>
      <c r="P75" s="128"/>
      <c r="Q75" s="128"/>
      <c r="R75" s="128">
        <v>4</v>
      </c>
      <c r="S75" s="157">
        <v>129.6</v>
      </c>
      <c r="T75" s="157"/>
      <c r="U75" s="134"/>
      <c r="V75" s="157">
        <v>593.4</v>
      </c>
      <c r="W75" s="134" t="s">
        <v>30</v>
      </c>
      <c r="X75" s="138" t="s">
        <v>37</v>
      </c>
      <c r="Y75" s="136" t="s">
        <v>32</v>
      </c>
      <c r="Z75" s="136" t="s">
        <v>32</v>
      </c>
      <c r="AA75" s="136" t="s">
        <v>32</v>
      </c>
      <c r="AB75" s="136" t="s">
        <v>52</v>
      </c>
      <c r="AC75" s="130" t="s">
        <v>33</v>
      </c>
      <c r="AD75" s="130" t="s">
        <v>34</v>
      </c>
      <c r="AE75" s="130" t="s">
        <v>35</v>
      </c>
      <c r="AF75" s="148">
        <v>445</v>
      </c>
      <c r="AG75" s="174">
        <v>471</v>
      </c>
      <c r="AH75" s="201">
        <v>8.36</v>
      </c>
      <c r="AI75" s="179">
        <v>1.04</v>
      </c>
      <c r="AJ75" s="127"/>
      <c r="AK75" s="202">
        <f t="shared" si="6"/>
        <v>9.399999999999999</v>
      </c>
    </row>
    <row r="76" spans="1:37" s="47" customFormat="1" ht="15">
      <c r="A76" s="135">
        <v>66</v>
      </c>
      <c r="B76" s="137"/>
      <c r="C76" s="128">
        <v>5</v>
      </c>
      <c r="D76" s="128"/>
      <c r="E76" s="128"/>
      <c r="F76" s="128"/>
      <c r="G76" s="130">
        <v>1997</v>
      </c>
      <c r="H76" s="130" t="s">
        <v>28</v>
      </c>
      <c r="I76" s="130">
        <v>3</v>
      </c>
      <c r="J76" s="130" t="s">
        <v>38</v>
      </c>
      <c r="K76" s="157">
        <f>V76</f>
        <v>460</v>
      </c>
      <c r="L76" s="157">
        <v>6085</v>
      </c>
      <c r="M76" s="157">
        <f>N76+S76</f>
        <v>1380.9</v>
      </c>
      <c r="N76" s="134">
        <v>1278.9</v>
      </c>
      <c r="O76" s="133">
        <v>24</v>
      </c>
      <c r="P76" s="128"/>
      <c r="Q76" s="128"/>
      <c r="R76" s="128">
        <v>2</v>
      </c>
      <c r="S76" s="157">
        <v>102</v>
      </c>
      <c r="T76" s="157"/>
      <c r="U76" s="134"/>
      <c r="V76" s="157">
        <v>460</v>
      </c>
      <c r="W76" s="134" t="s">
        <v>30</v>
      </c>
      <c r="X76" s="138" t="s">
        <v>37</v>
      </c>
      <c r="Y76" s="136" t="s">
        <v>32</v>
      </c>
      <c r="Z76" s="136" t="s">
        <v>32</v>
      </c>
      <c r="AA76" s="136" t="s">
        <v>32</v>
      </c>
      <c r="AB76" s="136" t="s">
        <v>52</v>
      </c>
      <c r="AC76" s="130" t="s">
        <v>33</v>
      </c>
      <c r="AD76" s="130" t="s">
        <v>34</v>
      </c>
      <c r="AE76" s="130" t="s">
        <v>35</v>
      </c>
      <c r="AF76" s="148">
        <v>350</v>
      </c>
      <c r="AG76" s="174"/>
      <c r="AH76" s="207">
        <v>9.32</v>
      </c>
      <c r="AI76" s="179">
        <v>1.04</v>
      </c>
      <c r="AJ76" s="127"/>
      <c r="AK76" s="202">
        <f t="shared" si="6"/>
        <v>10.36</v>
      </c>
    </row>
    <row r="77" spans="1:37" s="47" customFormat="1" ht="15">
      <c r="A77" s="135">
        <v>67</v>
      </c>
      <c r="B77" s="137" t="s">
        <v>48</v>
      </c>
      <c r="C77" s="128">
        <v>1</v>
      </c>
      <c r="D77" s="128"/>
      <c r="E77" s="128"/>
      <c r="F77" s="128"/>
      <c r="G77" s="130">
        <v>1982</v>
      </c>
      <c r="H77" s="130" t="s">
        <v>28</v>
      </c>
      <c r="I77" s="130">
        <v>2</v>
      </c>
      <c r="J77" s="130" t="s">
        <v>29</v>
      </c>
      <c r="K77" s="157">
        <f aca="true" t="shared" si="7" ref="K77:K89">M77*288/342.6</f>
        <v>691.4185639229422</v>
      </c>
      <c r="L77" s="157">
        <v>2918</v>
      </c>
      <c r="M77" s="157">
        <f aca="true" t="shared" si="8" ref="M77:M90">N77+S77</f>
        <v>822.5</v>
      </c>
      <c r="N77" s="134">
        <v>748.1</v>
      </c>
      <c r="O77" s="133">
        <v>18</v>
      </c>
      <c r="P77" s="128"/>
      <c r="Q77" s="128"/>
      <c r="R77" s="128">
        <v>2</v>
      </c>
      <c r="S77" s="157">
        <v>74.4</v>
      </c>
      <c r="T77" s="157"/>
      <c r="U77" s="134"/>
      <c r="V77" s="161"/>
      <c r="W77" s="134" t="s">
        <v>30</v>
      </c>
      <c r="X77" s="134" t="s">
        <v>31</v>
      </c>
      <c r="Y77" s="136" t="s">
        <v>32</v>
      </c>
      <c r="Z77" s="136" t="s">
        <v>32</v>
      </c>
      <c r="AA77" s="136" t="s">
        <v>32</v>
      </c>
      <c r="AB77" s="136" t="s">
        <v>52</v>
      </c>
      <c r="AC77" s="130" t="s">
        <v>33</v>
      </c>
      <c r="AD77" s="130" t="s">
        <v>34</v>
      </c>
      <c r="AE77" s="130" t="s">
        <v>35</v>
      </c>
      <c r="AF77" s="148">
        <v>169</v>
      </c>
      <c r="AG77" s="174">
        <v>115</v>
      </c>
      <c r="AH77" s="201">
        <v>7.5</v>
      </c>
      <c r="AI77" s="179">
        <v>1.04</v>
      </c>
      <c r="AJ77" s="127"/>
      <c r="AK77" s="202">
        <f t="shared" si="6"/>
        <v>8.54</v>
      </c>
    </row>
    <row r="78" spans="1:37" s="47" customFormat="1" ht="15">
      <c r="A78" s="135">
        <v>68</v>
      </c>
      <c r="B78" s="137"/>
      <c r="C78" s="128">
        <v>2</v>
      </c>
      <c r="D78" s="128"/>
      <c r="E78" s="128"/>
      <c r="F78" s="128"/>
      <c r="G78" s="130">
        <v>1981</v>
      </c>
      <c r="H78" s="130" t="s">
        <v>28</v>
      </c>
      <c r="I78" s="130">
        <v>2</v>
      </c>
      <c r="J78" s="130" t="s">
        <v>29</v>
      </c>
      <c r="K78" s="157">
        <f t="shared" si="7"/>
        <v>707.8108581436077</v>
      </c>
      <c r="L78" s="157">
        <v>2969</v>
      </c>
      <c r="M78" s="157">
        <f t="shared" si="8"/>
        <v>842</v>
      </c>
      <c r="N78" s="134">
        <v>761</v>
      </c>
      <c r="O78" s="133">
        <v>16</v>
      </c>
      <c r="P78" s="128"/>
      <c r="Q78" s="128"/>
      <c r="R78" s="128">
        <v>2</v>
      </c>
      <c r="S78" s="157">
        <v>81</v>
      </c>
      <c r="T78" s="157"/>
      <c r="U78" s="134"/>
      <c r="V78" s="157"/>
      <c r="W78" s="134" t="s">
        <v>30</v>
      </c>
      <c r="X78" s="134" t="s">
        <v>31</v>
      </c>
      <c r="Y78" s="136" t="s">
        <v>32</v>
      </c>
      <c r="Z78" s="136" t="s">
        <v>32</v>
      </c>
      <c r="AA78" s="136" t="s">
        <v>32</v>
      </c>
      <c r="AB78" s="136" t="s">
        <v>52</v>
      </c>
      <c r="AC78" s="130" t="s">
        <v>33</v>
      </c>
      <c r="AD78" s="130" t="s">
        <v>34</v>
      </c>
      <c r="AE78" s="130" t="s">
        <v>35</v>
      </c>
      <c r="AF78" s="148">
        <v>170</v>
      </c>
      <c r="AG78" s="174">
        <v>116</v>
      </c>
      <c r="AH78" s="201">
        <v>7.5</v>
      </c>
      <c r="AI78" s="179">
        <v>1.04</v>
      </c>
      <c r="AJ78" s="127"/>
      <c r="AK78" s="202">
        <f t="shared" si="6"/>
        <v>8.54</v>
      </c>
    </row>
    <row r="79" spans="1:37" s="47" customFormat="1" ht="15">
      <c r="A79" s="135">
        <v>69</v>
      </c>
      <c r="B79" s="137"/>
      <c r="C79" s="128">
        <v>3</v>
      </c>
      <c r="D79" s="128"/>
      <c r="E79" s="128"/>
      <c r="F79" s="128"/>
      <c r="G79" s="130">
        <v>1967</v>
      </c>
      <c r="H79" s="130" t="s">
        <v>28</v>
      </c>
      <c r="I79" s="130">
        <v>2</v>
      </c>
      <c r="J79" s="130" t="s">
        <v>29</v>
      </c>
      <c r="K79" s="157">
        <f t="shared" si="7"/>
        <v>288.50437828371275</v>
      </c>
      <c r="L79" s="157">
        <v>1337</v>
      </c>
      <c r="M79" s="157">
        <f t="shared" si="8"/>
        <v>343.2</v>
      </c>
      <c r="N79" s="134">
        <v>309.4</v>
      </c>
      <c r="O79" s="133">
        <v>8</v>
      </c>
      <c r="P79" s="128"/>
      <c r="Q79" s="128"/>
      <c r="R79" s="128">
        <v>1</v>
      </c>
      <c r="S79" s="157">
        <v>33.8</v>
      </c>
      <c r="T79" s="157"/>
      <c r="U79" s="134"/>
      <c r="V79" s="157"/>
      <c r="W79" s="134" t="s">
        <v>30</v>
      </c>
      <c r="X79" s="134" t="s">
        <v>31</v>
      </c>
      <c r="Y79" s="136" t="s">
        <v>32</v>
      </c>
      <c r="Z79" s="136" t="s">
        <v>32</v>
      </c>
      <c r="AA79" s="136" t="s">
        <v>32</v>
      </c>
      <c r="AB79" s="136" t="s">
        <v>52</v>
      </c>
      <c r="AC79" s="130" t="s">
        <v>33</v>
      </c>
      <c r="AD79" s="130" t="s">
        <v>34</v>
      </c>
      <c r="AE79" s="130" t="s">
        <v>35</v>
      </c>
      <c r="AF79" s="148">
        <v>85</v>
      </c>
      <c r="AG79" s="174"/>
      <c r="AH79" s="201">
        <v>7.69</v>
      </c>
      <c r="AI79" s="179">
        <v>1.04</v>
      </c>
      <c r="AJ79" s="127"/>
      <c r="AK79" s="202">
        <f t="shared" si="6"/>
        <v>8.73</v>
      </c>
    </row>
    <row r="80" spans="1:37" s="47" customFormat="1" ht="15">
      <c r="A80" s="135">
        <v>70</v>
      </c>
      <c r="B80" s="137"/>
      <c r="C80" s="128">
        <v>4</v>
      </c>
      <c r="D80" s="128"/>
      <c r="E80" s="128"/>
      <c r="F80" s="128"/>
      <c r="G80" s="130">
        <v>1978</v>
      </c>
      <c r="H80" s="130" t="s">
        <v>28</v>
      </c>
      <c r="I80" s="130">
        <v>2</v>
      </c>
      <c r="J80" s="130" t="s">
        <v>29</v>
      </c>
      <c r="K80" s="157">
        <f t="shared" si="7"/>
        <v>335.83187390542906</v>
      </c>
      <c r="L80" s="157">
        <v>1457</v>
      </c>
      <c r="M80" s="157">
        <f t="shared" si="8"/>
        <v>399.5</v>
      </c>
      <c r="N80" s="134">
        <v>372.2</v>
      </c>
      <c r="O80" s="133">
        <v>8</v>
      </c>
      <c r="P80" s="128"/>
      <c r="Q80" s="128"/>
      <c r="R80" s="128">
        <v>1</v>
      </c>
      <c r="S80" s="157">
        <v>27.3</v>
      </c>
      <c r="T80" s="157"/>
      <c r="U80" s="134"/>
      <c r="V80" s="157"/>
      <c r="W80" s="134" t="s">
        <v>30</v>
      </c>
      <c r="X80" s="134" t="s">
        <v>31</v>
      </c>
      <c r="Y80" s="136" t="s">
        <v>32</v>
      </c>
      <c r="Z80" s="136" t="s">
        <v>32</v>
      </c>
      <c r="AA80" s="136" t="s">
        <v>32</v>
      </c>
      <c r="AB80" s="136" t="s">
        <v>52</v>
      </c>
      <c r="AC80" s="130" t="s">
        <v>33</v>
      </c>
      <c r="AD80" s="130" t="s">
        <v>34</v>
      </c>
      <c r="AE80" s="130" t="s">
        <v>35</v>
      </c>
      <c r="AF80" s="148">
        <v>200</v>
      </c>
      <c r="AG80" s="174"/>
      <c r="AH80" s="201">
        <v>7.5</v>
      </c>
      <c r="AI80" s="179">
        <v>1.04</v>
      </c>
      <c r="AJ80" s="127"/>
      <c r="AK80" s="202">
        <f t="shared" si="6"/>
        <v>8.54</v>
      </c>
    </row>
    <row r="81" spans="1:37" s="47" customFormat="1" ht="15">
      <c r="A81" s="135">
        <v>71</v>
      </c>
      <c r="B81" s="137"/>
      <c r="C81" s="128">
        <v>5</v>
      </c>
      <c r="D81" s="128"/>
      <c r="E81" s="128"/>
      <c r="F81" s="128"/>
      <c r="G81" s="130">
        <v>1962</v>
      </c>
      <c r="H81" s="130" t="s">
        <v>28</v>
      </c>
      <c r="I81" s="130">
        <v>2</v>
      </c>
      <c r="J81" s="130" t="s">
        <v>29</v>
      </c>
      <c r="K81" s="157">
        <f t="shared" si="7"/>
        <v>293.7162872154115</v>
      </c>
      <c r="L81" s="157">
        <v>1312</v>
      </c>
      <c r="M81" s="157">
        <f t="shared" si="8"/>
        <v>349.4</v>
      </c>
      <c r="N81" s="134">
        <v>316.4</v>
      </c>
      <c r="O81" s="133">
        <v>8</v>
      </c>
      <c r="P81" s="128"/>
      <c r="Q81" s="128"/>
      <c r="R81" s="128">
        <v>1</v>
      </c>
      <c r="S81" s="157">
        <v>33</v>
      </c>
      <c r="T81" s="157"/>
      <c r="U81" s="134"/>
      <c r="V81" s="157"/>
      <c r="W81" s="134" t="s">
        <v>30</v>
      </c>
      <c r="X81" s="134" t="s">
        <v>31</v>
      </c>
      <c r="Y81" s="136" t="s">
        <v>32</v>
      </c>
      <c r="Z81" s="136" t="s">
        <v>32</v>
      </c>
      <c r="AA81" s="136" t="s">
        <v>32</v>
      </c>
      <c r="AB81" s="136" t="s">
        <v>52</v>
      </c>
      <c r="AC81" s="130" t="s">
        <v>33</v>
      </c>
      <c r="AD81" s="130" t="s">
        <v>34</v>
      </c>
      <c r="AE81" s="130" t="s">
        <v>35</v>
      </c>
      <c r="AF81" s="148">
        <v>85</v>
      </c>
      <c r="AG81" s="174"/>
      <c r="AH81" s="201">
        <v>7.69</v>
      </c>
      <c r="AI81" s="179">
        <v>1.04</v>
      </c>
      <c r="AJ81" s="127"/>
      <c r="AK81" s="202">
        <f t="shared" si="6"/>
        <v>8.73</v>
      </c>
    </row>
    <row r="82" spans="1:37" s="47" customFormat="1" ht="15">
      <c r="A82" s="135">
        <v>72</v>
      </c>
      <c r="B82" s="137"/>
      <c r="C82" s="128">
        <v>6</v>
      </c>
      <c r="D82" s="128"/>
      <c r="E82" s="128"/>
      <c r="F82" s="128"/>
      <c r="G82" s="130">
        <v>1977</v>
      </c>
      <c r="H82" s="130" t="s">
        <v>28</v>
      </c>
      <c r="I82" s="130">
        <v>2</v>
      </c>
      <c r="J82" s="130" t="s">
        <v>29</v>
      </c>
      <c r="K82" s="157">
        <f t="shared" si="7"/>
        <v>344.23817863397545</v>
      </c>
      <c r="L82" s="157">
        <v>1445</v>
      </c>
      <c r="M82" s="157">
        <f t="shared" si="8"/>
        <v>409.5</v>
      </c>
      <c r="N82" s="134">
        <v>380.7</v>
      </c>
      <c r="O82" s="133">
        <v>8</v>
      </c>
      <c r="P82" s="128"/>
      <c r="Q82" s="128"/>
      <c r="R82" s="128">
        <v>1</v>
      </c>
      <c r="S82" s="157">
        <v>28.8</v>
      </c>
      <c r="T82" s="157"/>
      <c r="U82" s="134"/>
      <c r="V82" s="157"/>
      <c r="W82" s="134" t="s">
        <v>30</v>
      </c>
      <c r="X82" s="134" t="s">
        <v>31</v>
      </c>
      <c r="Y82" s="136" t="s">
        <v>32</v>
      </c>
      <c r="Z82" s="136" t="s">
        <v>32</v>
      </c>
      <c r="AA82" s="136" t="s">
        <v>32</v>
      </c>
      <c r="AB82" s="136" t="s">
        <v>52</v>
      </c>
      <c r="AC82" s="130" t="s">
        <v>33</v>
      </c>
      <c r="AD82" s="130" t="s">
        <v>34</v>
      </c>
      <c r="AE82" s="130" t="s">
        <v>35</v>
      </c>
      <c r="AF82" s="148">
        <v>200</v>
      </c>
      <c r="AG82" s="174"/>
      <c r="AH82" s="201">
        <v>7.69</v>
      </c>
      <c r="AI82" s="179">
        <v>1.04</v>
      </c>
      <c r="AJ82" s="127"/>
      <c r="AK82" s="202">
        <f t="shared" si="6"/>
        <v>8.73</v>
      </c>
    </row>
    <row r="83" spans="1:37" s="47" customFormat="1" ht="15">
      <c r="A83" s="135">
        <v>73</v>
      </c>
      <c r="B83" s="137"/>
      <c r="C83" s="128">
        <v>7</v>
      </c>
      <c r="D83" s="128"/>
      <c r="E83" s="128"/>
      <c r="F83" s="128"/>
      <c r="G83" s="130">
        <v>1968</v>
      </c>
      <c r="H83" s="130" t="s">
        <v>28</v>
      </c>
      <c r="I83" s="130">
        <v>2</v>
      </c>
      <c r="J83" s="130" t="s">
        <v>29</v>
      </c>
      <c r="K83" s="157">
        <f t="shared" si="7"/>
        <v>287.5796847635727</v>
      </c>
      <c r="L83" s="157">
        <v>1337</v>
      </c>
      <c r="M83" s="157">
        <f t="shared" si="8"/>
        <v>342.1</v>
      </c>
      <c r="N83" s="134">
        <v>304.3</v>
      </c>
      <c r="O83" s="133">
        <v>9</v>
      </c>
      <c r="P83" s="128"/>
      <c r="Q83" s="128"/>
      <c r="R83" s="128">
        <v>1</v>
      </c>
      <c r="S83" s="157">
        <v>37.8</v>
      </c>
      <c r="T83" s="157"/>
      <c r="U83" s="134"/>
      <c r="V83" s="157"/>
      <c r="W83" s="134" t="s">
        <v>30</v>
      </c>
      <c r="X83" s="134" t="s">
        <v>31</v>
      </c>
      <c r="Y83" s="136" t="s">
        <v>32</v>
      </c>
      <c r="Z83" s="136" t="s">
        <v>32</v>
      </c>
      <c r="AA83" s="136" t="s">
        <v>32</v>
      </c>
      <c r="AB83" s="136" t="s">
        <v>52</v>
      </c>
      <c r="AC83" s="130" t="s">
        <v>33</v>
      </c>
      <c r="AD83" s="130" t="s">
        <v>34</v>
      </c>
      <c r="AE83" s="130" t="s">
        <v>35</v>
      </c>
      <c r="AF83" s="148">
        <v>85</v>
      </c>
      <c r="AG83" s="174"/>
      <c r="AH83" s="201">
        <v>7.69</v>
      </c>
      <c r="AI83" s="179">
        <v>1.04</v>
      </c>
      <c r="AJ83" s="127"/>
      <c r="AK83" s="202">
        <f t="shared" si="6"/>
        <v>8.73</v>
      </c>
    </row>
    <row r="84" spans="1:37" s="47" customFormat="1" ht="15">
      <c r="A84" s="135">
        <v>74</v>
      </c>
      <c r="B84" s="137"/>
      <c r="C84" s="128">
        <v>8</v>
      </c>
      <c r="D84" s="128"/>
      <c r="E84" s="128"/>
      <c r="F84" s="128"/>
      <c r="G84" s="130">
        <v>1974</v>
      </c>
      <c r="H84" s="130" t="s">
        <v>28</v>
      </c>
      <c r="I84" s="130">
        <v>2</v>
      </c>
      <c r="J84" s="130" t="s">
        <v>29</v>
      </c>
      <c r="K84" s="157">
        <f t="shared" si="7"/>
        <v>338.7740805604203</v>
      </c>
      <c r="L84" s="157">
        <v>1430</v>
      </c>
      <c r="M84" s="157">
        <f t="shared" si="8"/>
        <v>403</v>
      </c>
      <c r="N84" s="134">
        <v>375.1</v>
      </c>
      <c r="O84" s="133">
        <v>8</v>
      </c>
      <c r="P84" s="128"/>
      <c r="Q84" s="128"/>
      <c r="R84" s="128">
        <v>1</v>
      </c>
      <c r="S84" s="157">
        <v>27.9</v>
      </c>
      <c r="T84" s="157"/>
      <c r="U84" s="134"/>
      <c r="V84" s="157"/>
      <c r="W84" s="134" t="s">
        <v>30</v>
      </c>
      <c r="X84" s="134" t="s">
        <v>31</v>
      </c>
      <c r="Y84" s="136" t="s">
        <v>32</v>
      </c>
      <c r="Z84" s="136" t="s">
        <v>32</v>
      </c>
      <c r="AA84" s="136" t="s">
        <v>32</v>
      </c>
      <c r="AB84" s="136" t="s">
        <v>52</v>
      </c>
      <c r="AC84" s="130" t="s">
        <v>33</v>
      </c>
      <c r="AD84" s="130" t="s">
        <v>34</v>
      </c>
      <c r="AE84" s="130" t="s">
        <v>35</v>
      </c>
      <c r="AF84" s="148">
        <v>200</v>
      </c>
      <c r="AG84" s="174"/>
      <c r="AH84" s="201">
        <v>7.69</v>
      </c>
      <c r="AI84" s="179">
        <v>1.04</v>
      </c>
      <c r="AJ84" s="127"/>
      <c r="AK84" s="202">
        <f t="shared" si="6"/>
        <v>8.73</v>
      </c>
    </row>
    <row r="85" spans="1:37" s="47" customFormat="1" ht="15">
      <c r="A85" s="135">
        <v>75</v>
      </c>
      <c r="B85" s="137"/>
      <c r="C85" s="128">
        <v>9</v>
      </c>
      <c r="D85" s="128"/>
      <c r="E85" s="128"/>
      <c r="F85" s="128"/>
      <c r="G85" s="130">
        <v>1970</v>
      </c>
      <c r="H85" s="130" t="s">
        <v>28</v>
      </c>
      <c r="I85" s="130">
        <v>2</v>
      </c>
      <c r="J85" s="130" t="s">
        <v>29</v>
      </c>
      <c r="K85" s="157">
        <f t="shared" si="7"/>
        <v>316.3292469352014</v>
      </c>
      <c r="L85" s="157">
        <v>1323</v>
      </c>
      <c r="M85" s="157">
        <f t="shared" si="8"/>
        <v>376.3</v>
      </c>
      <c r="N85" s="134">
        <v>340.7</v>
      </c>
      <c r="O85" s="133">
        <v>8</v>
      </c>
      <c r="P85" s="128"/>
      <c r="Q85" s="128"/>
      <c r="R85" s="128">
        <v>1</v>
      </c>
      <c r="S85" s="157">
        <v>35.6</v>
      </c>
      <c r="T85" s="157"/>
      <c r="U85" s="134"/>
      <c r="V85" s="157"/>
      <c r="W85" s="134" t="s">
        <v>30</v>
      </c>
      <c r="X85" s="134" t="s">
        <v>31</v>
      </c>
      <c r="Y85" s="136" t="s">
        <v>32</v>
      </c>
      <c r="Z85" s="136" t="s">
        <v>32</v>
      </c>
      <c r="AA85" s="136" t="s">
        <v>32</v>
      </c>
      <c r="AB85" s="136" t="s">
        <v>52</v>
      </c>
      <c r="AC85" s="130" t="s">
        <v>33</v>
      </c>
      <c r="AD85" s="130" t="s">
        <v>34</v>
      </c>
      <c r="AE85" s="130" t="s">
        <v>35</v>
      </c>
      <c r="AF85" s="148">
        <v>85</v>
      </c>
      <c r="AG85" s="174"/>
      <c r="AH85" s="201">
        <v>7.69</v>
      </c>
      <c r="AI85" s="179">
        <v>1.04</v>
      </c>
      <c r="AJ85" s="127"/>
      <c r="AK85" s="202">
        <f t="shared" si="6"/>
        <v>8.73</v>
      </c>
    </row>
    <row r="86" spans="1:37" s="47" customFormat="1" ht="15">
      <c r="A86" s="135">
        <v>76</v>
      </c>
      <c r="B86" s="137"/>
      <c r="C86" s="128">
        <v>10</v>
      </c>
      <c r="D86" s="128"/>
      <c r="E86" s="128"/>
      <c r="F86" s="128"/>
      <c r="G86" s="130">
        <v>1973</v>
      </c>
      <c r="H86" s="130" t="s">
        <v>28</v>
      </c>
      <c r="I86" s="130">
        <v>2</v>
      </c>
      <c r="J86" s="130" t="s">
        <v>29</v>
      </c>
      <c r="K86" s="157">
        <f t="shared" si="7"/>
        <v>340.45534150612957</v>
      </c>
      <c r="L86" s="157">
        <v>1351</v>
      </c>
      <c r="M86" s="157">
        <f t="shared" si="8"/>
        <v>405</v>
      </c>
      <c r="N86" s="134">
        <v>377.1</v>
      </c>
      <c r="O86" s="133">
        <v>8</v>
      </c>
      <c r="P86" s="128"/>
      <c r="Q86" s="128"/>
      <c r="R86" s="128">
        <v>1</v>
      </c>
      <c r="S86" s="157">
        <v>27.9</v>
      </c>
      <c r="T86" s="157"/>
      <c r="U86" s="134"/>
      <c r="V86" s="157"/>
      <c r="W86" s="134" t="s">
        <v>30</v>
      </c>
      <c r="X86" s="134" t="s">
        <v>31</v>
      </c>
      <c r="Y86" s="136" t="s">
        <v>32</v>
      </c>
      <c r="Z86" s="136" t="s">
        <v>32</v>
      </c>
      <c r="AA86" s="136" t="s">
        <v>32</v>
      </c>
      <c r="AB86" s="136" t="s">
        <v>52</v>
      </c>
      <c r="AC86" s="130" t="s">
        <v>33</v>
      </c>
      <c r="AD86" s="130" t="s">
        <v>34</v>
      </c>
      <c r="AE86" s="130" t="s">
        <v>35</v>
      </c>
      <c r="AF86" s="148">
        <v>200</v>
      </c>
      <c r="AG86" s="174"/>
      <c r="AH86" s="201">
        <v>7.69</v>
      </c>
      <c r="AI86" s="179">
        <v>1.04</v>
      </c>
      <c r="AJ86" s="127"/>
      <c r="AK86" s="202">
        <f t="shared" si="6"/>
        <v>8.73</v>
      </c>
    </row>
    <row r="87" spans="1:37" s="47" customFormat="1" ht="15">
      <c r="A87" s="135">
        <v>77</v>
      </c>
      <c r="B87" s="137"/>
      <c r="C87" s="128">
        <v>11</v>
      </c>
      <c r="D87" s="128"/>
      <c r="E87" s="128"/>
      <c r="F87" s="128"/>
      <c r="G87" s="130">
        <v>1973</v>
      </c>
      <c r="H87" s="130" t="s">
        <v>28</v>
      </c>
      <c r="I87" s="130">
        <v>2</v>
      </c>
      <c r="J87" s="130" t="s">
        <v>29</v>
      </c>
      <c r="K87" s="160">
        <v>340</v>
      </c>
      <c r="L87" s="157">
        <v>1403</v>
      </c>
      <c r="M87" s="157">
        <f t="shared" si="8"/>
        <v>399.70000000000005</v>
      </c>
      <c r="N87" s="134">
        <v>371.6</v>
      </c>
      <c r="O87" s="133">
        <v>8</v>
      </c>
      <c r="P87" s="128"/>
      <c r="Q87" s="128"/>
      <c r="R87" s="128">
        <v>1</v>
      </c>
      <c r="S87" s="157">
        <v>28.1</v>
      </c>
      <c r="T87" s="157"/>
      <c r="U87" s="134"/>
      <c r="V87" s="157"/>
      <c r="W87" s="134" t="s">
        <v>30</v>
      </c>
      <c r="X87" s="134" t="s">
        <v>31</v>
      </c>
      <c r="Y87" s="136" t="s">
        <v>32</v>
      </c>
      <c r="Z87" s="136" t="s">
        <v>32</v>
      </c>
      <c r="AA87" s="136" t="s">
        <v>32</v>
      </c>
      <c r="AB87" s="136" t="s">
        <v>52</v>
      </c>
      <c r="AC87" s="130" t="s">
        <v>33</v>
      </c>
      <c r="AD87" s="130" t="s">
        <v>34</v>
      </c>
      <c r="AE87" s="130" t="s">
        <v>35</v>
      </c>
      <c r="AF87" s="148">
        <v>85</v>
      </c>
      <c r="AG87" s="174"/>
      <c r="AH87" s="201">
        <v>7.69</v>
      </c>
      <c r="AI87" s="179">
        <v>1.04</v>
      </c>
      <c r="AJ87" s="127"/>
      <c r="AK87" s="202">
        <f t="shared" si="6"/>
        <v>8.73</v>
      </c>
    </row>
    <row r="88" spans="1:37" s="47" customFormat="1" ht="15">
      <c r="A88" s="135">
        <v>78</v>
      </c>
      <c r="B88" s="137"/>
      <c r="C88" s="128">
        <v>12</v>
      </c>
      <c r="D88" s="128"/>
      <c r="E88" s="128"/>
      <c r="F88" s="128"/>
      <c r="G88" s="130">
        <v>1980</v>
      </c>
      <c r="H88" s="130" t="s">
        <v>28</v>
      </c>
      <c r="I88" s="130">
        <v>2</v>
      </c>
      <c r="J88" s="130" t="s">
        <v>29</v>
      </c>
      <c r="K88" s="157">
        <f t="shared" si="7"/>
        <v>338.01751313485113</v>
      </c>
      <c r="L88" s="157">
        <v>1495</v>
      </c>
      <c r="M88" s="157">
        <f t="shared" si="8"/>
        <v>402.1</v>
      </c>
      <c r="N88" s="134">
        <v>374.1</v>
      </c>
      <c r="O88" s="133">
        <v>8</v>
      </c>
      <c r="P88" s="128"/>
      <c r="Q88" s="128"/>
      <c r="R88" s="128">
        <v>1</v>
      </c>
      <c r="S88" s="157">
        <v>28</v>
      </c>
      <c r="T88" s="157"/>
      <c r="U88" s="134"/>
      <c r="V88" s="157"/>
      <c r="W88" s="134" t="s">
        <v>30</v>
      </c>
      <c r="X88" s="134" t="s">
        <v>31</v>
      </c>
      <c r="Y88" s="136" t="s">
        <v>32</v>
      </c>
      <c r="Z88" s="136" t="s">
        <v>32</v>
      </c>
      <c r="AA88" s="136" t="s">
        <v>32</v>
      </c>
      <c r="AB88" s="136" t="s">
        <v>52</v>
      </c>
      <c r="AC88" s="130" t="s">
        <v>33</v>
      </c>
      <c r="AD88" s="130" t="s">
        <v>34</v>
      </c>
      <c r="AE88" s="130" t="s">
        <v>35</v>
      </c>
      <c r="AF88" s="148">
        <v>200</v>
      </c>
      <c r="AG88" s="174"/>
      <c r="AH88" s="201">
        <v>7.5</v>
      </c>
      <c r="AI88" s="179">
        <v>1.04</v>
      </c>
      <c r="AJ88" s="127"/>
      <c r="AK88" s="202">
        <f t="shared" si="6"/>
        <v>8.54</v>
      </c>
    </row>
    <row r="89" spans="1:37" s="47" customFormat="1" ht="15">
      <c r="A89" s="135">
        <v>79</v>
      </c>
      <c r="B89" s="137"/>
      <c r="C89" s="128">
        <v>13</v>
      </c>
      <c r="D89" s="128"/>
      <c r="E89" s="128"/>
      <c r="F89" s="128"/>
      <c r="G89" s="130">
        <v>1973</v>
      </c>
      <c r="H89" s="130" t="s">
        <v>28</v>
      </c>
      <c r="I89" s="130">
        <v>2</v>
      </c>
      <c r="J89" s="130" t="s">
        <v>29</v>
      </c>
      <c r="K89" s="157">
        <f t="shared" si="7"/>
        <v>337.092819614711</v>
      </c>
      <c r="L89" s="157">
        <v>1406</v>
      </c>
      <c r="M89" s="157">
        <f t="shared" si="8"/>
        <v>401</v>
      </c>
      <c r="N89" s="134">
        <v>373.6</v>
      </c>
      <c r="O89" s="133">
        <v>8</v>
      </c>
      <c r="P89" s="128"/>
      <c r="Q89" s="128"/>
      <c r="R89" s="128">
        <v>1</v>
      </c>
      <c r="S89" s="157">
        <v>27.4</v>
      </c>
      <c r="T89" s="157"/>
      <c r="U89" s="134"/>
      <c r="V89" s="157"/>
      <c r="W89" s="134" t="s">
        <v>30</v>
      </c>
      <c r="X89" s="134" t="s">
        <v>31</v>
      </c>
      <c r="Y89" s="136" t="s">
        <v>32</v>
      </c>
      <c r="Z89" s="136" t="s">
        <v>32</v>
      </c>
      <c r="AA89" s="136" t="s">
        <v>32</v>
      </c>
      <c r="AB89" s="136" t="s">
        <v>52</v>
      </c>
      <c r="AC89" s="130" t="s">
        <v>33</v>
      </c>
      <c r="AD89" s="130" t="s">
        <v>34</v>
      </c>
      <c r="AE89" s="130" t="s">
        <v>35</v>
      </c>
      <c r="AF89" s="148">
        <v>85</v>
      </c>
      <c r="AG89" s="174"/>
      <c r="AH89" s="201">
        <v>7.69</v>
      </c>
      <c r="AI89" s="179">
        <v>1.04</v>
      </c>
      <c r="AJ89" s="127"/>
      <c r="AK89" s="202">
        <f t="shared" si="6"/>
        <v>8.73</v>
      </c>
    </row>
    <row r="90" spans="1:37" s="47" customFormat="1" ht="15.75" thickBot="1">
      <c r="A90" s="149">
        <v>80</v>
      </c>
      <c r="B90" s="150"/>
      <c r="C90" s="151">
        <v>15</v>
      </c>
      <c r="D90" s="151"/>
      <c r="E90" s="151"/>
      <c r="F90" s="151"/>
      <c r="G90" s="152">
        <v>1984</v>
      </c>
      <c r="H90" s="152" t="s">
        <v>28</v>
      </c>
      <c r="I90" s="152">
        <v>1</v>
      </c>
      <c r="J90" s="152" t="s">
        <v>29</v>
      </c>
      <c r="K90" s="159">
        <f>M90*137/123.3</f>
        <v>206.22222222222223</v>
      </c>
      <c r="L90" s="159">
        <v>239.8</v>
      </c>
      <c r="M90" s="159">
        <f t="shared" si="8"/>
        <v>185.6</v>
      </c>
      <c r="N90" s="153">
        <v>170.5</v>
      </c>
      <c r="O90" s="154">
        <v>5</v>
      </c>
      <c r="P90" s="151"/>
      <c r="Q90" s="151"/>
      <c r="R90" s="151">
        <v>1</v>
      </c>
      <c r="S90" s="159">
        <v>15.1</v>
      </c>
      <c r="T90" s="159"/>
      <c r="U90" s="153"/>
      <c r="V90" s="159"/>
      <c r="W90" s="153" t="s">
        <v>30</v>
      </c>
      <c r="X90" s="153" t="s">
        <v>31</v>
      </c>
      <c r="Y90" s="155" t="s">
        <v>32</v>
      </c>
      <c r="Z90" s="155" t="s">
        <v>32</v>
      </c>
      <c r="AA90" s="155" t="s">
        <v>32</v>
      </c>
      <c r="AB90" s="155" t="s">
        <v>52</v>
      </c>
      <c r="AC90" s="152" t="s">
        <v>33</v>
      </c>
      <c r="AD90" s="152" t="s">
        <v>34</v>
      </c>
      <c r="AE90" s="152" t="s">
        <v>35</v>
      </c>
      <c r="AF90" s="156">
        <v>85</v>
      </c>
      <c r="AG90" s="177"/>
      <c r="AH90" s="208">
        <v>8.21</v>
      </c>
      <c r="AI90" s="183">
        <v>1.04</v>
      </c>
      <c r="AJ90" s="184"/>
      <c r="AK90" s="205">
        <f t="shared" si="6"/>
        <v>9.25</v>
      </c>
    </row>
    <row r="91" spans="1:31" ht="15">
      <c r="A91" s="11"/>
      <c r="B91" s="11"/>
      <c r="C91" s="48"/>
      <c r="D91" s="48"/>
      <c r="E91" s="48"/>
      <c r="F91" s="48"/>
      <c r="G91" s="11"/>
      <c r="H91" s="12"/>
      <c r="I91" s="12"/>
      <c r="J91" s="12"/>
      <c r="K91" s="41"/>
      <c r="L91" s="13"/>
      <c r="M91" s="14"/>
      <c r="N91" s="14"/>
      <c r="O91" s="50"/>
      <c r="P91" s="12"/>
      <c r="Q91" s="15"/>
      <c r="R91" s="12"/>
      <c r="S91" s="12"/>
      <c r="T91" s="12"/>
      <c r="U91" s="50"/>
      <c r="V91" s="50"/>
      <c r="W91" s="12"/>
      <c r="X91" s="12"/>
      <c r="Y91" s="12"/>
      <c r="Z91" s="12"/>
      <c r="AA91" s="12"/>
      <c r="AB91" s="12"/>
      <c r="AC91" s="11"/>
      <c r="AD91" s="6"/>
      <c r="AE91" s="32"/>
    </row>
    <row r="92" spans="1:33" ht="15" hidden="1">
      <c r="A92" s="16"/>
      <c r="B92" s="11"/>
      <c r="C92" s="10"/>
      <c r="D92" s="10"/>
      <c r="E92" s="10"/>
      <c r="F92" s="10"/>
      <c r="G92" s="16"/>
      <c r="H92" s="17"/>
      <c r="I92" s="17">
        <v>1</v>
      </c>
      <c r="J92" s="17"/>
      <c r="K92" s="42"/>
      <c r="L92" s="18"/>
      <c r="M92" s="19"/>
      <c r="N92" s="94">
        <f>N90+N68+N67+N66+N65</f>
        <v>818.7</v>
      </c>
      <c r="O92" s="95"/>
      <c r="P92" s="96"/>
      <c r="Q92" s="96"/>
      <c r="R92" s="96"/>
      <c r="S92" s="96"/>
      <c r="T92" s="96"/>
      <c r="U92" s="95"/>
      <c r="V92" s="95"/>
      <c r="W92" s="96"/>
      <c r="X92" s="96"/>
      <c r="Y92" s="96"/>
      <c r="Z92" s="96"/>
      <c r="AA92" s="96"/>
      <c r="AB92" s="96"/>
      <c r="AC92" s="97"/>
      <c r="AD92" s="94"/>
      <c r="AE92" s="98"/>
      <c r="AF92" s="94">
        <f>AF90</f>
        <v>85</v>
      </c>
      <c r="AG92" s="94">
        <f>AG90</f>
        <v>0</v>
      </c>
    </row>
    <row r="93" spans="1:33" ht="15" hidden="1">
      <c r="A93" s="11"/>
      <c r="B93" s="21"/>
      <c r="C93" s="58"/>
      <c r="D93" s="58"/>
      <c r="E93" s="58"/>
      <c r="F93" s="58"/>
      <c r="G93" s="21"/>
      <c r="H93" s="22"/>
      <c r="I93" s="23">
        <v>2</v>
      </c>
      <c r="J93" s="23"/>
      <c r="K93" s="43"/>
      <c r="L93" s="24"/>
      <c r="M93" s="25" t="s">
        <v>49</v>
      </c>
      <c r="N93" s="94">
        <f aca="true" t="shared" si="9" ref="N93:AA93">SUM(N77:N89)+N75+N74+N70+N69+SUM(N54:N60)+N52+N51+SUM(N33:N38)-N74</f>
        <v>15808.000000000002</v>
      </c>
      <c r="O93" s="94">
        <f t="shared" si="9"/>
        <v>382</v>
      </c>
      <c r="P93" s="94">
        <f t="shared" si="9"/>
        <v>13</v>
      </c>
      <c r="Q93" s="94">
        <f t="shared" si="9"/>
        <v>14</v>
      </c>
      <c r="R93" s="94">
        <f t="shared" si="9"/>
        <v>62</v>
      </c>
      <c r="S93" s="94">
        <f t="shared" si="9"/>
        <v>1399.7</v>
      </c>
      <c r="T93" s="94"/>
      <c r="U93" s="94">
        <f t="shared" si="9"/>
        <v>2324.6</v>
      </c>
      <c r="V93" s="94">
        <f t="shared" si="9"/>
        <v>5900.4</v>
      </c>
      <c r="W93" s="94" t="e">
        <f t="shared" si="9"/>
        <v>#VALUE!</v>
      </c>
      <c r="X93" s="94" t="e">
        <f t="shared" si="9"/>
        <v>#VALUE!</v>
      </c>
      <c r="Y93" s="94" t="e">
        <f t="shared" si="9"/>
        <v>#VALUE!</v>
      </c>
      <c r="Z93" s="94" t="e">
        <f t="shared" si="9"/>
        <v>#VALUE!</v>
      </c>
      <c r="AA93" s="94" t="e">
        <f t="shared" si="9"/>
        <v>#VALUE!</v>
      </c>
      <c r="AB93" s="94"/>
      <c r="AC93" s="94" t="e">
        <f>SUM(AC77:AC89)+AC75+AC74+AC70+AC69+SUM(AC54:AC60)+AC52+AC51+SUM(AC33:AC38)-AC74</f>
        <v>#VALUE!</v>
      </c>
      <c r="AD93" s="94" t="e">
        <f>SUM(AD77:AD89)+AD75+AD74+AD70+AD69+SUM(AD54:AD60)+AD52+AD51+SUM(AD33:AD38)-AD74</f>
        <v>#VALUE!</v>
      </c>
      <c r="AE93" s="98" t="e">
        <f>SUM(AE77:AE89)+AE75+AE74+AE70+AE69+SUM(AE54:AE60)+AE52+AE51+SUM(AE33:AE38)-AE74</f>
        <v>#VALUE!</v>
      </c>
      <c r="AF93" s="94">
        <f>SUM(AF77:AF89)+AF75+AF74+AF70+AF69+SUM(AF54:AF60)+AF52+AF51+SUM(AF33:AF38)-AF74</f>
        <v>7313</v>
      </c>
      <c r="AG93" s="94">
        <f>SUM(AG77:AG89)+AG75+AG74+AG70+AG69+SUM(AG54:AG60)+AG52+AG51+SUM(AG33:AG38)-AG74</f>
        <v>4216</v>
      </c>
    </row>
    <row r="94" spans="1:33" ht="15" hidden="1">
      <c r="A94" s="16"/>
      <c r="B94" s="16"/>
      <c r="C94" s="10"/>
      <c r="D94" s="10"/>
      <c r="E94" s="10"/>
      <c r="F94" s="10"/>
      <c r="G94" s="16"/>
      <c r="H94" s="17"/>
      <c r="I94" s="17">
        <v>3</v>
      </c>
      <c r="J94" s="17"/>
      <c r="K94" s="42"/>
      <c r="L94" s="18"/>
      <c r="M94" s="19"/>
      <c r="N94" s="96">
        <f>N76</f>
        <v>1278.9</v>
      </c>
      <c r="O94" s="96">
        <f aca="true" t="shared" si="10" ref="O94:AG94">O76</f>
        <v>24</v>
      </c>
      <c r="P94" s="96">
        <f t="shared" si="10"/>
        <v>0</v>
      </c>
      <c r="Q94" s="96">
        <f t="shared" si="10"/>
        <v>0</v>
      </c>
      <c r="R94" s="96">
        <f t="shared" si="10"/>
        <v>2</v>
      </c>
      <c r="S94" s="96">
        <f t="shared" si="10"/>
        <v>102</v>
      </c>
      <c r="T94" s="96"/>
      <c r="U94" s="96">
        <f t="shared" si="10"/>
        <v>0</v>
      </c>
      <c r="V94" s="96">
        <f t="shared" si="10"/>
        <v>460</v>
      </c>
      <c r="W94" s="96" t="str">
        <f t="shared" si="10"/>
        <v>Ц</v>
      </c>
      <c r="X94" s="96" t="str">
        <f t="shared" si="10"/>
        <v>ГВС</v>
      </c>
      <c r="Y94" s="96" t="str">
        <f t="shared" si="10"/>
        <v>+</v>
      </c>
      <c r="Z94" s="96" t="str">
        <f t="shared" si="10"/>
        <v>+</v>
      </c>
      <c r="AA94" s="96" t="str">
        <f t="shared" si="10"/>
        <v>+</v>
      </c>
      <c r="AB94" s="96"/>
      <c r="AC94" s="96" t="str">
        <f t="shared" si="10"/>
        <v>ПР</v>
      </c>
      <c r="AD94" s="96" t="str">
        <f t="shared" si="10"/>
        <v>Г/ПЛ</v>
      </c>
      <c r="AE94" s="96" t="str">
        <f t="shared" si="10"/>
        <v>СКР</v>
      </c>
      <c r="AF94" s="96">
        <f t="shared" si="10"/>
        <v>350</v>
      </c>
      <c r="AG94" s="96">
        <f t="shared" si="10"/>
        <v>0</v>
      </c>
    </row>
    <row r="95" spans="1:33" ht="15" hidden="1">
      <c r="A95" s="1"/>
      <c r="B95" s="16"/>
      <c r="C95" s="59" t="s">
        <v>50</v>
      </c>
      <c r="D95" s="59"/>
      <c r="E95" s="59"/>
      <c r="F95" s="59"/>
      <c r="G95" s="17"/>
      <c r="H95" s="2"/>
      <c r="I95" s="2">
        <v>4</v>
      </c>
      <c r="J95" s="2"/>
      <c r="K95" s="40"/>
      <c r="L95" s="27" t="s">
        <v>51</v>
      </c>
      <c r="M95" s="19"/>
      <c r="N95" s="98">
        <f>N64+N63+N62+N61+N53</f>
        <v>4735</v>
      </c>
      <c r="O95" s="98">
        <f aca="true" t="shared" si="11" ref="O95:AG95">O64+O63+O62+O61+O53</f>
        <v>94</v>
      </c>
      <c r="P95" s="98">
        <f t="shared" si="11"/>
        <v>0</v>
      </c>
      <c r="Q95" s="98">
        <f t="shared" si="11"/>
        <v>0</v>
      </c>
      <c r="R95" s="98">
        <f t="shared" si="11"/>
        <v>6</v>
      </c>
      <c r="S95" s="98">
        <f t="shared" si="11"/>
        <v>549.6</v>
      </c>
      <c r="T95" s="98"/>
      <c r="U95" s="98">
        <f t="shared" si="11"/>
        <v>675.9000000000001</v>
      </c>
      <c r="V95" s="98">
        <f t="shared" si="11"/>
        <v>1148.7</v>
      </c>
      <c r="W95" s="98" t="e">
        <f t="shared" si="11"/>
        <v>#VALUE!</v>
      </c>
      <c r="X95" s="98" t="e">
        <f t="shared" si="11"/>
        <v>#VALUE!</v>
      </c>
      <c r="Y95" s="98" t="e">
        <f t="shared" si="11"/>
        <v>#VALUE!</v>
      </c>
      <c r="Z95" s="98" t="e">
        <f t="shared" si="11"/>
        <v>#VALUE!</v>
      </c>
      <c r="AA95" s="98" t="e">
        <f t="shared" si="11"/>
        <v>#VALUE!</v>
      </c>
      <c r="AB95" s="98"/>
      <c r="AC95" s="98" t="e">
        <f t="shared" si="11"/>
        <v>#VALUE!</v>
      </c>
      <c r="AD95" s="98" t="e">
        <f t="shared" si="11"/>
        <v>#VALUE!</v>
      </c>
      <c r="AE95" s="98" t="e">
        <f t="shared" si="11"/>
        <v>#VALUE!</v>
      </c>
      <c r="AF95" s="98">
        <f t="shared" si="11"/>
        <v>2464</v>
      </c>
      <c r="AG95" s="98">
        <f t="shared" si="11"/>
        <v>1257</v>
      </c>
    </row>
    <row r="96" spans="1:33" ht="15" hidden="1">
      <c r="A96" s="1"/>
      <c r="B96" s="16"/>
      <c r="C96" s="60"/>
      <c r="D96" s="60"/>
      <c r="E96" s="60"/>
      <c r="F96" s="60"/>
      <c r="G96" s="17"/>
      <c r="H96" s="2"/>
      <c r="I96" s="2">
        <v>5</v>
      </c>
      <c r="J96" s="2"/>
      <c r="K96" s="44"/>
      <c r="L96" s="29"/>
      <c r="M96" s="19"/>
      <c r="N96" s="98">
        <f aca="true" t="shared" si="12" ref="N96:AA96">N72+SUM(N39:N50)+SUM(N9:N12)+SUM(N14:N32)-N24</f>
        <v>116710.29000000001</v>
      </c>
      <c r="O96" s="98">
        <f t="shared" si="12"/>
        <v>2555</v>
      </c>
      <c r="P96" s="98">
        <f t="shared" si="12"/>
        <v>0</v>
      </c>
      <c r="Q96" s="98">
        <f t="shared" si="12"/>
        <v>0</v>
      </c>
      <c r="R96" s="98">
        <f t="shared" si="12"/>
        <v>155</v>
      </c>
      <c r="S96" s="98">
        <f t="shared" si="12"/>
        <v>11892.1</v>
      </c>
      <c r="T96" s="98"/>
      <c r="U96" s="98">
        <f t="shared" si="12"/>
        <v>5588.099999999999</v>
      </c>
      <c r="V96" s="98">
        <f t="shared" si="12"/>
        <v>20671.679999999997</v>
      </c>
      <c r="W96" s="98" t="e">
        <f t="shared" si="12"/>
        <v>#VALUE!</v>
      </c>
      <c r="X96" s="98" t="e">
        <f t="shared" si="12"/>
        <v>#VALUE!</v>
      </c>
      <c r="Y96" s="98" t="e">
        <f t="shared" si="12"/>
        <v>#VALUE!</v>
      </c>
      <c r="Z96" s="98" t="e">
        <f t="shared" si="12"/>
        <v>#VALUE!</v>
      </c>
      <c r="AA96" s="98" t="e">
        <f t="shared" si="12"/>
        <v>#VALUE!</v>
      </c>
      <c r="AB96" s="98"/>
      <c r="AC96" s="98" t="e">
        <f>AC72+SUM(AC39:AC50)+SUM(AC9:AC12)+SUM(AC14:AC32)-AC24</f>
        <v>#VALUE!</v>
      </c>
      <c r="AD96" s="98" t="e">
        <f>AD72+SUM(AD39:AD50)+SUM(AD9:AD12)+SUM(AD14:AD32)-AD24</f>
        <v>#VALUE!</v>
      </c>
      <c r="AE96" s="98" t="e">
        <f>AE72+SUM(AE39:AE50)+SUM(AE9:AE12)+SUM(AE14:AE32)-AE24</f>
        <v>#VALUE!</v>
      </c>
      <c r="AF96" s="98">
        <f>AF72+SUM(AF39:AF50)+SUM(AF9:AF12)+SUM(AF14:AF32)-AF24</f>
        <v>27469</v>
      </c>
      <c r="AG96" s="98">
        <f>AG72+SUM(AG39:AG50)+SUM(AG9:AG12)+SUM(AG14:AG32)-AG24</f>
        <v>23111</v>
      </c>
    </row>
    <row r="97" spans="1:33" ht="15" hidden="1">
      <c r="A97" s="1"/>
      <c r="B97" s="12" t="s">
        <v>30</v>
      </c>
      <c r="C97" s="9" t="s">
        <v>52</v>
      </c>
      <c r="D97" s="9"/>
      <c r="E97" s="9"/>
      <c r="F97" s="9"/>
      <c r="G97" s="30" t="s">
        <v>53</v>
      </c>
      <c r="H97" s="2"/>
      <c r="I97" s="2">
        <v>6</v>
      </c>
      <c r="J97" s="2"/>
      <c r="K97" s="45" t="s">
        <v>37</v>
      </c>
      <c r="L97" s="3" t="s">
        <v>52</v>
      </c>
      <c r="M97" s="31" t="s">
        <v>54</v>
      </c>
      <c r="N97" s="98">
        <f>N13</f>
        <v>1646.8</v>
      </c>
      <c r="O97" s="98">
        <f aca="true" t="shared" si="13" ref="O97:AG97">O13</f>
        <v>36</v>
      </c>
      <c r="P97" s="98">
        <f t="shared" si="13"/>
        <v>0</v>
      </c>
      <c r="Q97" s="98">
        <f t="shared" si="13"/>
        <v>0</v>
      </c>
      <c r="R97" s="98">
        <f t="shared" si="13"/>
        <v>2</v>
      </c>
      <c r="S97" s="98">
        <f t="shared" si="13"/>
        <v>220.6</v>
      </c>
      <c r="T97" s="98"/>
      <c r="U97" s="98">
        <f t="shared" si="13"/>
        <v>0</v>
      </c>
      <c r="V97" s="98">
        <f t="shared" si="13"/>
        <v>317.3</v>
      </c>
      <c r="W97" s="98" t="str">
        <f t="shared" si="13"/>
        <v>Ц</v>
      </c>
      <c r="X97" s="98" t="str">
        <f t="shared" si="13"/>
        <v>ГВС</v>
      </c>
      <c r="Y97" s="98" t="str">
        <f t="shared" si="13"/>
        <v>+</v>
      </c>
      <c r="Z97" s="98" t="str">
        <f t="shared" si="13"/>
        <v>+</v>
      </c>
      <c r="AA97" s="98" t="str">
        <f t="shared" si="13"/>
        <v>+</v>
      </c>
      <c r="AB97" s="98"/>
      <c r="AC97" s="98" t="str">
        <f t="shared" si="13"/>
        <v>ПР</v>
      </c>
      <c r="AD97" s="98" t="str">
        <f t="shared" si="13"/>
        <v>Г/ПЛ</v>
      </c>
      <c r="AE97" s="98" t="str">
        <f t="shared" si="13"/>
        <v>СКР</v>
      </c>
      <c r="AF97" s="98">
        <f t="shared" si="13"/>
        <v>239</v>
      </c>
      <c r="AG97" s="98">
        <f t="shared" si="13"/>
        <v>164</v>
      </c>
    </row>
    <row r="98" spans="1:33" ht="15" hidden="1">
      <c r="A98" s="1"/>
      <c r="B98" s="12"/>
      <c r="C98" s="9"/>
      <c r="D98" s="9"/>
      <c r="E98" s="9"/>
      <c r="F98" s="9"/>
      <c r="G98" s="30"/>
      <c r="H98" s="2"/>
      <c r="I98" s="2">
        <v>7</v>
      </c>
      <c r="J98" s="2"/>
      <c r="K98" s="45"/>
      <c r="L98" s="3"/>
      <c r="M98" s="31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</row>
    <row r="99" spans="1:33" ht="15" hidden="1">
      <c r="A99" s="1"/>
      <c r="B99" s="12"/>
      <c r="C99" s="9"/>
      <c r="D99" s="9"/>
      <c r="E99" s="9"/>
      <c r="F99" s="9"/>
      <c r="G99" s="30"/>
      <c r="H99" s="2"/>
      <c r="I99" s="2">
        <v>8</v>
      </c>
      <c r="J99" s="2"/>
      <c r="K99" s="45"/>
      <c r="L99" s="3"/>
      <c r="M99" s="31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</row>
    <row r="100" spans="1:33" ht="15" hidden="1">
      <c r="A100" s="6"/>
      <c r="B100" s="12" t="s">
        <v>57</v>
      </c>
      <c r="C100" s="9" t="s">
        <v>52</v>
      </c>
      <c r="D100" s="9"/>
      <c r="E100" s="9"/>
      <c r="F100" s="9"/>
      <c r="G100" s="30" t="s">
        <v>58</v>
      </c>
      <c r="H100" s="22"/>
      <c r="I100" s="90">
        <v>9</v>
      </c>
      <c r="J100" s="90"/>
      <c r="K100" s="88" t="s">
        <v>31</v>
      </c>
      <c r="L100" s="89" t="s">
        <v>52</v>
      </c>
      <c r="M100" s="91" t="s">
        <v>59</v>
      </c>
      <c r="N100" s="98">
        <f>N71</f>
        <v>6963.5</v>
      </c>
      <c r="O100" s="98">
        <f aca="true" t="shared" si="14" ref="O100:AG100">O71</f>
        <v>121</v>
      </c>
      <c r="P100" s="98">
        <f t="shared" si="14"/>
        <v>0</v>
      </c>
      <c r="Q100" s="98">
        <f t="shared" si="14"/>
        <v>0</v>
      </c>
      <c r="R100" s="98">
        <f t="shared" si="14"/>
        <v>4</v>
      </c>
      <c r="S100" s="98">
        <f t="shared" si="14"/>
        <v>1275.6</v>
      </c>
      <c r="T100" s="98"/>
      <c r="U100" s="98">
        <f t="shared" si="14"/>
        <v>0</v>
      </c>
      <c r="V100" s="98">
        <f t="shared" si="14"/>
        <v>1218.9</v>
      </c>
      <c r="W100" s="98" t="str">
        <f t="shared" si="14"/>
        <v>Ц</v>
      </c>
      <c r="X100" s="98" t="str">
        <f t="shared" si="14"/>
        <v>ГВС</v>
      </c>
      <c r="Y100" s="98" t="str">
        <f t="shared" si="14"/>
        <v>+</v>
      </c>
      <c r="Z100" s="98" t="str">
        <f t="shared" si="14"/>
        <v>+</v>
      </c>
      <c r="AA100" s="98" t="str">
        <f t="shared" si="14"/>
        <v>+</v>
      </c>
      <c r="AB100" s="98"/>
      <c r="AC100" s="98" t="str">
        <f t="shared" si="14"/>
        <v>ПР</v>
      </c>
      <c r="AD100" s="98" t="str">
        <f t="shared" si="14"/>
        <v>Г/ПЛ</v>
      </c>
      <c r="AE100" s="98" t="str">
        <f t="shared" si="14"/>
        <v>СКР</v>
      </c>
      <c r="AF100" s="98">
        <f t="shared" si="14"/>
        <v>1902</v>
      </c>
      <c r="AG100" s="98">
        <f t="shared" si="14"/>
        <v>704</v>
      </c>
    </row>
    <row r="101" spans="1:33" ht="15" hidden="1">
      <c r="A101" s="33"/>
      <c r="B101" s="32" t="s">
        <v>62</v>
      </c>
      <c r="C101" s="9" t="s">
        <v>52</v>
      </c>
      <c r="D101" s="9"/>
      <c r="E101" s="9"/>
      <c r="F101" s="9"/>
      <c r="G101" s="1" t="s">
        <v>63</v>
      </c>
      <c r="H101" s="34"/>
      <c r="I101" s="34"/>
      <c r="J101" s="34"/>
      <c r="K101" s="43" t="s">
        <v>57</v>
      </c>
      <c r="L101" s="18" t="s">
        <v>52</v>
      </c>
      <c r="M101" s="31" t="s">
        <v>64</v>
      </c>
      <c r="N101" s="99"/>
      <c r="O101" s="100"/>
      <c r="P101" s="101"/>
      <c r="Q101" s="101"/>
      <c r="R101" s="101"/>
      <c r="S101" s="101"/>
      <c r="T101" s="101"/>
      <c r="U101" s="100"/>
      <c r="V101" s="100"/>
      <c r="W101" s="101"/>
      <c r="X101" s="101"/>
      <c r="Y101" s="101"/>
      <c r="Z101" s="101"/>
      <c r="AA101" s="101"/>
      <c r="AB101" s="101"/>
      <c r="AC101" s="102"/>
      <c r="AD101" s="99"/>
      <c r="AE101" s="106"/>
      <c r="AF101" s="94"/>
      <c r="AG101" s="94"/>
    </row>
    <row r="102" spans="1:33" ht="15" hidden="1">
      <c r="A102" s="16"/>
      <c r="B102" s="12" t="s">
        <v>65</v>
      </c>
      <c r="C102" s="9" t="s">
        <v>52</v>
      </c>
      <c r="D102" s="9"/>
      <c r="E102" s="9"/>
      <c r="F102" s="9"/>
      <c r="G102" s="30" t="s">
        <v>66</v>
      </c>
      <c r="H102" s="17"/>
      <c r="I102" s="17" t="s">
        <v>82</v>
      </c>
      <c r="J102" s="17"/>
      <c r="K102" s="42"/>
      <c r="L102" s="18"/>
      <c r="M102" s="19"/>
      <c r="N102" s="103">
        <f>SUM(N92:N101)</f>
        <v>147961.19</v>
      </c>
      <c r="O102" s="103">
        <f aca="true" t="shared" si="15" ref="O102:AG102">SUM(O92:O101)</f>
        <v>3212</v>
      </c>
      <c r="P102" s="103">
        <f t="shared" si="15"/>
        <v>13</v>
      </c>
      <c r="Q102" s="103">
        <f t="shared" si="15"/>
        <v>14</v>
      </c>
      <c r="R102" s="103">
        <f t="shared" si="15"/>
        <v>231</v>
      </c>
      <c r="S102" s="103">
        <f t="shared" si="15"/>
        <v>15439.600000000002</v>
      </c>
      <c r="T102" s="103"/>
      <c r="U102" s="103">
        <f t="shared" si="15"/>
        <v>8588.599999999999</v>
      </c>
      <c r="V102" s="103">
        <f t="shared" si="15"/>
        <v>29716.979999999996</v>
      </c>
      <c r="W102" s="103" t="e">
        <f t="shared" si="15"/>
        <v>#VALUE!</v>
      </c>
      <c r="X102" s="103" t="e">
        <f t="shared" si="15"/>
        <v>#VALUE!</v>
      </c>
      <c r="Y102" s="103" t="e">
        <f t="shared" si="15"/>
        <v>#VALUE!</v>
      </c>
      <c r="Z102" s="103" t="e">
        <f t="shared" si="15"/>
        <v>#VALUE!</v>
      </c>
      <c r="AA102" s="103" t="e">
        <f t="shared" si="15"/>
        <v>#VALUE!</v>
      </c>
      <c r="AB102" s="103"/>
      <c r="AC102" s="103" t="e">
        <f t="shared" si="15"/>
        <v>#VALUE!</v>
      </c>
      <c r="AD102" s="103" t="e">
        <f t="shared" si="15"/>
        <v>#VALUE!</v>
      </c>
      <c r="AE102" s="103" t="e">
        <f t="shared" si="15"/>
        <v>#VALUE!</v>
      </c>
      <c r="AF102" s="103">
        <f t="shared" si="15"/>
        <v>39822</v>
      </c>
      <c r="AG102" s="103">
        <f t="shared" si="15"/>
        <v>29452</v>
      </c>
    </row>
    <row r="103" spans="1:33" ht="15" hidden="1">
      <c r="A103" s="16"/>
      <c r="B103" s="12"/>
      <c r="C103" s="9"/>
      <c r="D103" s="9"/>
      <c r="E103" s="9"/>
      <c r="F103" s="9"/>
      <c r="G103" s="30"/>
      <c r="H103" s="17"/>
      <c r="I103" s="17"/>
      <c r="J103" s="17"/>
      <c r="K103" s="42"/>
      <c r="L103" s="18"/>
      <c r="M103" s="19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</row>
    <row r="104" spans="1:33" ht="15" hidden="1">
      <c r="A104" s="16"/>
      <c r="B104" s="12"/>
      <c r="C104" s="9"/>
      <c r="D104" s="9"/>
      <c r="E104" s="9"/>
      <c r="F104" s="9"/>
      <c r="G104" s="30"/>
      <c r="H104" s="17"/>
      <c r="I104" s="17"/>
      <c r="J104" s="17"/>
      <c r="K104" s="42"/>
      <c r="L104" s="18"/>
      <c r="M104" s="19"/>
      <c r="N104" s="92" t="s">
        <v>81</v>
      </c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</row>
    <row r="105" spans="1:33" ht="15" hidden="1">
      <c r="A105" s="16"/>
      <c r="B105" s="12"/>
      <c r="C105" s="9"/>
      <c r="D105" s="9"/>
      <c r="E105" s="9"/>
      <c r="F105" s="9"/>
      <c r="G105" s="30"/>
      <c r="H105" s="17"/>
      <c r="I105" s="17">
        <v>2</v>
      </c>
      <c r="J105" s="17"/>
      <c r="K105" s="42"/>
      <c r="L105" s="18"/>
      <c r="M105" s="19"/>
      <c r="N105" s="92">
        <f>N74</f>
        <v>657.4</v>
      </c>
      <c r="O105" s="92">
        <f aca="true" t="shared" si="16" ref="O105:AG105">O74</f>
        <v>32</v>
      </c>
      <c r="P105" s="92">
        <f t="shared" si="16"/>
        <v>0</v>
      </c>
      <c r="Q105" s="92">
        <f t="shared" si="16"/>
        <v>0</v>
      </c>
      <c r="R105" s="92">
        <f t="shared" si="16"/>
        <v>2</v>
      </c>
      <c r="S105" s="92">
        <f t="shared" si="16"/>
        <v>221.6</v>
      </c>
      <c r="T105" s="92"/>
      <c r="U105" s="92">
        <f t="shared" si="16"/>
        <v>0</v>
      </c>
      <c r="V105" s="92">
        <f t="shared" si="16"/>
        <v>530.447</v>
      </c>
      <c r="W105" s="92" t="str">
        <f t="shared" si="16"/>
        <v>Ц</v>
      </c>
      <c r="X105" s="92" t="str">
        <f t="shared" si="16"/>
        <v>ГВС</v>
      </c>
      <c r="Y105" s="92" t="str">
        <f t="shared" si="16"/>
        <v>+</v>
      </c>
      <c r="Z105" s="92" t="str">
        <f t="shared" si="16"/>
        <v>+</v>
      </c>
      <c r="AA105" s="92" t="str">
        <f t="shared" si="16"/>
        <v>+</v>
      </c>
      <c r="AB105" s="92"/>
      <c r="AC105" s="92" t="str">
        <f t="shared" si="16"/>
        <v>-</v>
      </c>
      <c r="AD105" s="92" t="str">
        <f t="shared" si="16"/>
        <v>Г/Б</v>
      </c>
      <c r="AE105" s="92" t="str">
        <f t="shared" si="16"/>
        <v>СКР</v>
      </c>
      <c r="AF105" s="92">
        <f t="shared" si="16"/>
        <v>300</v>
      </c>
      <c r="AG105" s="92">
        <f t="shared" si="16"/>
        <v>0</v>
      </c>
    </row>
    <row r="106" spans="1:33" ht="15" hidden="1">
      <c r="A106" s="16"/>
      <c r="B106" s="12"/>
      <c r="C106" s="9"/>
      <c r="D106" s="9"/>
      <c r="E106" s="9"/>
      <c r="F106" s="9"/>
      <c r="G106" s="30"/>
      <c r="H106" s="17"/>
      <c r="I106" s="17">
        <v>3</v>
      </c>
      <c r="J106" s="17"/>
      <c r="K106" s="42"/>
      <c r="L106" s="18"/>
      <c r="M106" s="19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</row>
    <row r="107" spans="1:33" ht="15" hidden="1">
      <c r="A107" s="16"/>
      <c r="B107" s="12"/>
      <c r="C107" s="9"/>
      <c r="D107" s="9"/>
      <c r="E107" s="9"/>
      <c r="F107" s="9"/>
      <c r="G107" s="30"/>
      <c r="H107" s="17"/>
      <c r="I107" s="17">
        <v>4</v>
      </c>
      <c r="J107" s="17"/>
      <c r="K107" s="42"/>
      <c r="L107" s="18"/>
      <c r="M107" s="19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</row>
    <row r="108" spans="1:33" ht="15" hidden="1">
      <c r="A108" s="16"/>
      <c r="B108" s="12"/>
      <c r="C108" s="9"/>
      <c r="D108" s="9"/>
      <c r="E108" s="9"/>
      <c r="F108" s="9"/>
      <c r="G108" s="30"/>
      <c r="H108" s="17"/>
      <c r="I108" s="17">
        <v>5</v>
      </c>
      <c r="J108" s="17"/>
      <c r="K108" s="42"/>
      <c r="L108" s="18"/>
      <c r="M108" s="19"/>
      <c r="N108" s="92">
        <f>N24</f>
        <v>1037.43</v>
      </c>
      <c r="O108" s="92">
        <f aca="true" t="shared" si="17" ref="O108:AG108">O24</f>
        <v>84</v>
      </c>
      <c r="P108" s="92">
        <f t="shared" si="17"/>
        <v>0</v>
      </c>
      <c r="Q108" s="92">
        <f t="shared" si="17"/>
        <v>0</v>
      </c>
      <c r="R108" s="92">
        <f t="shared" si="17"/>
        <v>1</v>
      </c>
      <c r="S108" s="92">
        <f t="shared" si="17"/>
        <v>920.6</v>
      </c>
      <c r="T108" s="92"/>
      <c r="U108" s="92">
        <f t="shared" si="17"/>
        <v>0</v>
      </c>
      <c r="V108" s="92">
        <f t="shared" si="17"/>
        <v>507.4</v>
      </c>
      <c r="W108" s="92" t="str">
        <f t="shared" si="17"/>
        <v>Ц</v>
      </c>
      <c r="X108" s="92" t="str">
        <f t="shared" si="17"/>
        <v>ГВС</v>
      </c>
      <c r="Y108" s="92" t="str">
        <f t="shared" si="17"/>
        <v>+</v>
      </c>
      <c r="Z108" s="92" t="str">
        <f t="shared" si="17"/>
        <v>+</v>
      </c>
      <c r="AA108" s="92" t="str">
        <f t="shared" si="17"/>
        <v>+</v>
      </c>
      <c r="AB108" s="92"/>
      <c r="AC108" s="92" t="str">
        <f t="shared" si="17"/>
        <v>ПР</v>
      </c>
      <c r="AD108" s="92" t="str">
        <f t="shared" si="17"/>
        <v>Г/ПЛ</v>
      </c>
      <c r="AE108" s="92" t="str">
        <f t="shared" si="17"/>
        <v>СКР</v>
      </c>
      <c r="AF108" s="92">
        <f t="shared" si="17"/>
        <v>513</v>
      </c>
      <c r="AG108" s="92">
        <f t="shared" si="17"/>
        <v>1052</v>
      </c>
    </row>
    <row r="109" spans="1:33" ht="15" hidden="1">
      <c r="A109" s="16"/>
      <c r="B109" s="12"/>
      <c r="C109" s="9"/>
      <c r="D109" s="9"/>
      <c r="E109" s="9"/>
      <c r="F109" s="9"/>
      <c r="G109" s="30"/>
      <c r="H109" s="17"/>
      <c r="I109" s="17"/>
      <c r="J109" s="17"/>
      <c r="K109" s="42"/>
      <c r="L109" s="18"/>
      <c r="M109" s="19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</row>
    <row r="110" spans="1:33" ht="15" hidden="1">
      <c r="A110" s="16"/>
      <c r="B110" s="16"/>
      <c r="C110" s="10"/>
      <c r="D110" s="10"/>
      <c r="E110" s="10"/>
      <c r="F110" s="10"/>
      <c r="G110" s="17"/>
      <c r="H110" s="17"/>
      <c r="I110" s="17" t="s">
        <v>82</v>
      </c>
      <c r="J110" s="17"/>
      <c r="K110" s="42"/>
      <c r="L110" s="18"/>
      <c r="M110" s="19"/>
      <c r="N110" s="104">
        <f>SUM(N105:N108)</f>
        <v>1694.83</v>
      </c>
      <c r="O110" s="104">
        <f aca="true" t="shared" si="18" ref="O110:AG110">SUM(O105:O108)</f>
        <v>116</v>
      </c>
      <c r="P110" s="104">
        <f t="shared" si="18"/>
        <v>0</v>
      </c>
      <c r="Q110" s="104">
        <f t="shared" si="18"/>
        <v>0</v>
      </c>
      <c r="R110" s="104">
        <f t="shared" si="18"/>
        <v>3</v>
      </c>
      <c r="S110" s="104">
        <f t="shared" si="18"/>
        <v>1142.2</v>
      </c>
      <c r="T110" s="104"/>
      <c r="U110" s="104">
        <f t="shared" si="18"/>
        <v>0</v>
      </c>
      <c r="V110" s="104">
        <f t="shared" si="18"/>
        <v>1037.847</v>
      </c>
      <c r="W110" s="104">
        <f t="shared" si="18"/>
        <v>0</v>
      </c>
      <c r="X110" s="104">
        <f t="shared" si="18"/>
        <v>0</v>
      </c>
      <c r="Y110" s="104">
        <f t="shared" si="18"/>
        <v>0</v>
      </c>
      <c r="Z110" s="104">
        <f t="shared" si="18"/>
        <v>0</v>
      </c>
      <c r="AA110" s="104">
        <f t="shared" si="18"/>
        <v>0</v>
      </c>
      <c r="AB110" s="104"/>
      <c r="AC110" s="104">
        <f t="shared" si="18"/>
        <v>0</v>
      </c>
      <c r="AD110" s="104">
        <f t="shared" si="18"/>
        <v>0</v>
      </c>
      <c r="AE110" s="104">
        <f t="shared" si="18"/>
        <v>0</v>
      </c>
      <c r="AF110" s="104">
        <f t="shared" si="18"/>
        <v>813</v>
      </c>
      <c r="AG110" s="104">
        <f t="shared" si="18"/>
        <v>1052</v>
      </c>
    </row>
    <row r="111" spans="1:31" ht="15" hidden="1">
      <c r="A111" s="16"/>
      <c r="B111" s="16"/>
      <c r="C111" s="10"/>
      <c r="D111" s="10"/>
      <c r="E111" s="10"/>
      <c r="F111" s="10"/>
      <c r="G111" s="17"/>
      <c r="H111" s="17"/>
      <c r="I111" s="17"/>
      <c r="J111" s="17"/>
      <c r="K111" s="42"/>
      <c r="L111" s="18"/>
      <c r="M111" s="19"/>
      <c r="N111" s="19"/>
      <c r="O111" s="51"/>
      <c r="P111" s="20"/>
      <c r="Q111" s="28"/>
      <c r="R111" s="17"/>
      <c r="S111" s="17"/>
      <c r="T111" s="17"/>
      <c r="U111" s="9"/>
      <c r="V111" s="9"/>
      <c r="W111" s="17"/>
      <c r="X111" s="17"/>
      <c r="Y111" s="17"/>
      <c r="Z111" s="17"/>
      <c r="AA111" s="17"/>
      <c r="AB111" s="17"/>
      <c r="AC111" s="16"/>
      <c r="AD111" s="1"/>
      <c r="AE111" s="2"/>
    </row>
    <row r="112" spans="1:31" ht="15" hidden="1">
      <c r="A112" s="16"/>
      <c r="B112" s="11"/>
      <c r="C112" s="10"/>
      <c r="D112" s="10"/>
      <c r="E112" s="10"/>
      <c r="F112" s="10"/>
      <c r="G112" s="17"/>
      <c r="H112" s="17"/>
      <c r="I112" s="17"/>
      <c r="J112" s="17"/>
      <c r="K112" s="42"/>
      <c r="L112" s="18"/>
      <c r="M112" s="19"/>
      <c r="N112" s="19">
        <f>N110+N102</f>
        <v>149656.02</v>
      </c>
      <c r="O112" s="51"/>
      <c r="P112" s="20"/>
      <c r="Q112" s="28"/>
      <c r="R112" s="17"/>
      <c r="S112" s="17"/>
      <c r="T112" s="17"/>
      <c r="U112" s="9"/>
      <c r="V112" s="9"/>
      <c r="W112" s="17"/>
      <c r="X112" s="17"/>
      <c r="Y112" s="17"/>
      <c r="Z112" s="17"/>
      <c r="AA112" s="17"/>
      <c r="AB112" s="17"/>
      <c r="AC112" s="16"/>
      <c r="AD112" s="1"/>
      <c r="AE112" s="2"/>
    </row>
    <row r="113" spans="1:31" ht="15" hidden="1">
      <c r="A113" s="35"/>
      <c r="B113" s="35"/>
      <c r="C113" s="61"/>
      <c r="D113" s="61"/>
      <c r="E113" s="61"/>
      <c r="F113" s="61"/>
      <c r="G113" s="26"/>
      <c r="H113" s="36" t="s">
        <v>12</v>
      </c>
      <c r="I113" s="26"/>
      <c r="J113" s="26"/>
      <c r="K113" s="46"/>
      <c r="L113" s="37"/>
      <c r="M113" s="38"/>
      <c r="N113" s="38"/>
      <c r="O113" s="55"/>
      <c r="P113" s="26"/>
      <c r="Q113" s="36" t="s">
        <v>13</v>
      </c>
      <c r="R113" s="39"/>
      <c r="S113" s="26"/>
      <c r="T113" s="26"/>
      <c r="U113" s="59"/>
      <c r="V113" s="59"/>
      <c r="W113" s="26"/>
      <c r="X113" s="26"/>
      <c r="Y113" s="26"/>
      <c r="Z113" s="26"/>
      <c r="AA113" s="26"/>
      <c r="AB113" s="26"/>
      <c r="AC113" s="35"/>
      <c r="AD113" s="33"/>
      <c r="AE113" s="107"/>
    </row>
    <row r="114" spans="1:36" s="47" customFormat="1" ht="15">
      <c r="A114" s="48"/>
      <c r="B114" s="58"/>
      <c r="C114" s="58"/>
      <c r="D114" s="58"/>
      <c r="E114" s="58"/>
      <c r="F114" s="58"/>
      <c r="G114" s="58"/>
      <c r="H114" s="53"/>
      <c r="I114" s="57"/>
      <c r="J114" s="57"/>
      <c r="K114" s="43"/>
      <c r="L114" s="69"/>
      <c r="M114" s="70" t="s">
        <v>49</v>
      </c>
      <c r="N114" s="71"/>
      <c r="O114" s="52"/>
      <c r="P114" s="52"/>
      <c r="Q114" s="52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8"/>
      <c r="AC114" s="53"/>
      <c r="AD114" s="53"/>
      <c r="AE114" s="108"/>
      <c r="AH114" s="8"/>
      <c r="AI114" s="8"/>
      <c r="AJ114" s="8"/>
    </row>
    <row r="115" spans="1:36" s="47" customFormat="1" ht="15">
      <c r="A115" s="8"/>
      <c r="B115" s="10"/>
      <c r="C115" s="59" t="s">
        <v>50</v>
      </c>
      <c r="D115" s="59"/>
      <c r="E115" s="59"/>
      <c r="F115" s="59"/>
      <c r="G115" s="9"/>
      <c r="H115" s="62"/>
      <c r="I115" s="62"/>
      <c r="J115" s="62"/>
      <c r="K115" s="40"/>
      <c r="L115" s="72" t="s">
        <v>51</v>
      </c>
      <c r="M115" s="68"/>
      <c r="N115" s="64"/>
      <c r="O115" s="49"/>
      <c r="P115" s="51"/>
      <c r="Q115" s="73"/>
      <c r="R115" s="49"/>
      <c r="S115" s="168"/>
      <c r="U115" s="727" t="s">
        <v>11</v>
      </c>
      <c r="V115" s="727"/>
      <c r="W115" s="62"/>
      <c r="X115" s="9"/>
      <c r="Y115" s="9"/>
      <c r="AA115" s="59"/>
      <c r="AB115" s="728" t="s">
        <v>12</v>
      </c>
      <c r="AC115" s="728"/>
      <c r="AD115" s="728"/>
      <c r="AE115" s="728"/>
      <c r="AH115" s="8"/>
      <c r="AI115" s="8"/>
      <c r="AJ115" s="8"/>
    </row>
    <row r="116" spans="1:36" s="47" customFormat="1" ht="15">
      <c r="A116" s="8"/>
      <c r="B116" s="10"/>
      <c r="C116" s="60"/>
      <c r="D116" s="60"/>
      <c r="E116" s="60"/>
      <c r="F116" s="60"/>
      <c r="G116" s="9"/>
      <c r="H116" s="62"/>
      <c r="I116" s="62"/>
      <c r="J116" s="62"/>
      <c r="K116" s="44"/>
      <c r="L116" s="74"/>
      <c r="M116" s="68"/>
      <c r="N116" s="64"/>
      <c r="O116" s="49"/>
      <c r="P116" s="51"/>
      <c r="Q116" s="73"/>
      <c r="R116" s="49"/>
      <c r="S116" s="51"/>
      <c r="T116" s="51"/>
      <c r="U116" s="51"/>
      <c r="V116" s="51"/>
      <c r="W116" s="51"/>
      <c r="X116" s="9"/>
      <c r="Y116" s="9"/>
      <c r="Z116" s="57"/>
      <c r="AA116" s="57"/>
      <c r="AB116" s="57"/>
      <c r="AC116" s="57"/>
      <c r="AD116" s="43"/>
      <c r="AE116" s="108"/>
      <c r="AH116" s="8"/>
      <c r="AI116" s="8"/>
      <c r="AJ116" s="8"/>
    </row>
    <row r="117" spans="1:36" s="47" customFormat="1" ht="15">
      <c r="A117" s="8"/>
      <c r="B117" s="50" t="s">
        <v>30</v>
      </c>
      <c r="C117" s="9" t="s">
        <v>52</v>
      </c>
      <c r="D117" s="9"/>
      <c r="E117" s="9"/>
      <c r="F117" s="9"/>
      <c r="G117" s="75" t="s">
        <v>53</v>
      </c>
      <c r="H117" s="62"/>
      <c r="I117" s="62"/>
      <c r="J117" s="62"/>
      <c r="K117" s="45" t="s">
        <v>37</v>
      </c>
      <c r="L117" s="63" t="s">
        <v>52</v>
      </c>
      <c r="M117" s="76" t="s">
        <v>54</v>
      </c>
      <c r="N117" s="64"/>
      <c r="O117" s="49"/>
      <c r="P117" s="51"/>
      <c r="Q117" s="73"/>
      <c r="U117" s="77" t="s">
        <v>55</v>
      </c>
      <c r="V117" s="51" t="s">
        <v>52</v>
      </c>
      <c r="W117" s="78" t="s">
        <v>56</v>
      </c>
      <c r="X117" s="9"/>
      <c r="Y117" s="9"/>
      <c r="AA117" s="726" t="s">
        <v>34</v>
      </c>
      <c r="AB117" s="726"/>
      <c r="AC117" s="9" t="s">
        <v>52</v>
      </c>
      <c r="AD117" s="75" t="s">
        <v>89</v>
      </c>
      <c r="AE117" s="108"/>
      <c r="AH117" s="8"/>
      <c r="AI117" s="8"/>
      <c r="AJ117" s="8"/>
    </row>
    <row r="118" spans="1:36" s="47" customFormat="1" ht="15">
      <c r="A118" s="7"/>
      <c r="B118" s="50" t="s">
        <v>85</v>
      </c>
      <c r="C118" s="9" t="s">
        <v>52</v>
      </c>
      <c r="D118" s="9"/>
      <c r="E118" s="9"/>
      <c r="F118" s="9"/>
      <c r="G118" s="75" t="s">
        <v>86</v>
      </c>
      <c r="H118" s="53"/>
      <c r="I118" s="53"/>
      <c r="J118" s="53"/>
      <c r="K118" s="41" t="s">
        <v>31</v>
      </c>
      <c r="L118" s="67" t="s">
        <v>52</v>
      </c>
      <c r="M118" s="76" t="s">
        <v>59</v>
      </c>
      <c r="N118" s="79"/>
      <c r="O118" s="53"/>
      <c r="P118" s="57"/>
      <c r="Q118" s="56"/>
      <c r="U118" s="80" t="s">
        <v>60</v>
      </c>
      <c r="V118" s="9" t="s">
        <v>52</v>
      </c>
      <c r="W118" s="75" t="s">
        <v>61</v>
      </c>
      <c r="X118" s="57"/>
      <c r="Y118" s="57"/>
      <c r="AB118" s="86" t="s">
        <v>84</v>
      </c>
      <c r="AC118" s="9" t="s">
        <v>52</v>
      </c>
      <c r="AD118" s="75" t="s">
        <v>90</v>
      </c>
      <c r="AE118" s="108"/>
      <c r="AH118" s="8"/>
      <c r="AI118" s="8"/>
      <c r="AJ118" s="8"/>
    </row>
    <row r="119" spans="1:36" s="47" customFormat="1" ht="15">
      <c r="A119" s="55"/>
      <c r="B119" s="80"/>
      <c r="C119" s="9"/>
      <c r="D119" s="9"/>
      <c r="E119" s="9"/>
      <c r="F119" s="9"/>
      <c r="G119" s="8"/>
      <c r="H119" s="81"/>
      <c r="I119" s="81"/>
      <c r="J119" s="81"/>
      <c r="K119" s="43"/>
      <c r="L119" s="67"/>
      <c r="M119" s="76"/>
      <c r="N119" s="82"/>
      <c r="O119" s="54"/>
      <c r="P119" s="54"/>
      <c r="Q119" s="83"/>
      <c r="R119" s="84"/>
      <c r="S119" s="84"/>
      <c r="T119" s="84"/>
      <c r="U119" s="84"/>
      <c r="V119" s="84"/>
      <c r="W119" s="84"/>
      <c r="X119" s="84"/>
      <c r="Y119" s="84"/>
      <c r="Z119" s="86"/>
      <c r="AA119" s="9"/>
      <c r="AB119" s="75"/>
      <c r="AC119" s="9"/>
      <c r="AD119" s="42"/>
      <c r="AE119" s="108"/>
      <c r="AH119" s="8"/>
      <c r="AI119" s="8"/>
      <c r="AJ119" s="8"/>
    </row>
    <row r="120" spans="1:36" s="47" customFormat="1" ht="15">
      <c r="A120" s="10"/>
      <c r="B120" s="50"/>
      <c r="C120" s="9"/>
      <c r="D120" s="9"/>
      <c r="E120" s="9"/>
      <c r="F120" s="9"/>
      <c r="G120" s="75"/>
      <c r="H120" s="9"/>
      <c r="I120" s="9"/>
      <c r="J120" s="9"/>
      <c r="K120" s="42"/>
      <c r="L120" s="67"/>
      <c r="M120" s="68"/>
      <c r="N120" s="68"/>
      <c r="O120" s="51"/>
      <c r="P120" s="51"/>
      <c r="Q120" s="73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10"/>
      <c r="AC120" s="8"/>
      <c r="AD120" s="8"/>
      <c r="AE120" s="108"/>
      <c r="AH120" s="8"/>
      <c r="AI120" s="8"/>
      <c r="AJ120" s="8"/>
    </row>
    <row r="121" spans="1:36" s="47" customFormat="1" ht="15">
      <c r="A121" s="10"/>
      <c r="B121" s="48"/>
      <c r="C121" s="10"/>
      <c r="D121" s="10"/>
      <c r="E121" s="10"/>
      <c r="F121" s="10"/>
      <c r="G121" s="9"/>
      <c r="H121" s="9"/>
      <c r="I121" s="9"/>
      <c r="J121" s="9"/>
      <c r="K121" s="42"/>
      <c r="L121" s="67"/>
      <c r="M121" s="68"/>
      <c r="N121" s="68"/>
      <c r="O121" s="51"/>
      <c r="P121" s="51"/>
      <c r="Q121" s="73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10"/>
      <c r="AC121" s="8"/>
      <c r="AD121" s="8"/>
      <c r="AE121" s="108"/>
      <c r="AH121" s="8"/>
      <c r="AI121" s="8"/>
      <c r="AJ121" s="8"/>
    </row>
    <row r="122" spans="1:36" s="47" customFormat="1" ht="15">
      <c r="A122" s="9"/>
      <c r="B122" s="10"/>
      <c r="C122" s="10"/>
      <c r="D122" s="10"/>
      <c r="E122" s="10"/>
      <c r="F122" s="10"/>
      <c r="G122" s="75" t="s">
        <v>75</v>
      </c>
      <c r="H122" s="9"/>
      <c r="I122" s="9"/>
      <c r="J122" s="9"/>
      <c r="K122" s="42"/>
      <c r="L122" s="68" t="s">
        <v>75</v>
      </c>
      <c r="N122" s="68"/>
      <c r="O122" s="51"/>
      <c r="P122" s="51"/>
      <c r="Q122" s="73"/>
      <c r="R122" s="9"/>
      <c r="S122" s="9" t="s">
        <v>78</v>
      </c>
      <c r="T122" s="9"/>
      <c r="U122" s="9"/>
      <c r="V122" s="9"/>
      <c r="AB122" s="10"/>
      <c r="AC122" s="8"/>
      <c r="AD122" s="8"/>
      <c r="AE122" s="108"/>
      <c r="AH122" s="8"/>
      <c r="AI122" s="8"/>
      <c r="AJ122" s="8"/>
    </row>
    <row r="123" spans="1:36" s="47" customFormat="1" ht="15">
      <c r="A123" s="48"/>
      <c r="B123" s="58"/>
      <c r="C123" s="58"/>
      <c r="D123" s="58"/>
      <c r="E123" s="58"/>
      <c r="F123" s="58"/>
      <c r="G123" s="87"/>
      <c r="H123" s="57"/>
      <c r="I123" s="57"/>
      <c r="J123" s="57"/>
      <c r="K123" s="43"/>
      <c r="L123" s="71"/>
      <c r="N123" s="71"/>
      <c r="O123" s="56"/>
      <c r="P123" s="85"/>
      <c r="Q123" s="56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8"/>
      <c r="AC123" s="53"/>
      <c r="AD123" s="53"/>
      <c r="AE123" s="108"/>
      <c r="AH123" s="8"/>
      <c r="AI123" s="8"/>
      <c r="AJ123" s="8"/>
    </row>
    <row r="124" spans="1:36" s="47" customFormat="1" ht="15">
      <c r="A124" s="10"/>
      <c r="B124" s="10"/>
      <c r="C124" s="10"/>
      <c r="D124" s="10"/>
      <c r="E124" s="10"/>
      <c r="F124" s="10"/>
      <c r="G124" s="75" t="s">
        <v>77</v>
      </c>
      <c r="H124" s="9"/>
      <c r="I124" s="9"/>
      <c r="J124" s="9"/>
      <c r="K124" s="42"/>
      <c r="L124" s="47" t="s">
        <v>77</v>
      </c>
      <c r="N124" s="68"/>
      <c r="O124" s="9"/>
      <c r="P124" s="9"/>
      <c r="Q124" s="73"/>
      <c r="R124" s="9"/>
      <c r="S124" s="47" t="s">
        <v>80</v>
      </c>
      <c r="U124" s="9"/>
      <c r="V124" s="9"/>
      <c r="W124" s="9"/>
      <c r="X124" s="9"/>
      <c r="Y124" s="9"/>
      <c r="Z124" s="9"/>
      <c r="AA124" s="9"/>
      <c r="AB124" s="10"/>
      <c r="AC124" s="8"/>
      <c r="AD124" s="8"/>
      <c r="AE124" s="108"/>
      <c r="AH124" s="8"/>
      <c r="AI124" s="8"/>
      <c r="AJ124" s="8"/>
    </row>
    <row r="125" spans="1:36" s="47" customFormat="1" ht="15">
      <c r="A125" s="10"/>
      <c r="B125" s="10"/>
      <c r="C125" s="10"/>
      <c r="D125" s="10"/>
      <c r="E125" s="10"/>
      <c r="F125" s="10"/>
      <c r="G125" s="75"/>
      <c r="H125" s="9"/>
      <c r="I125" s="9"/>
      <c r="J125" s="9"/>
      <c r="K125" s="42"/>
      <c r="L125" s="68"/>
      <c r="N125" s="68"/>
      <c r="O125" s="9"/>
      <c r="P125" s="9"/>
      <c r="Q125" s="73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10"/>
      <c r="AC125" s="8"/>
      <c r="AD125" s="8"/>
      <c r="AE125" s="108"/>
      <c r="AH125" s="8"/>
      <c r="AI125" s="8"/>
      <c r="AJ125" s="8"/>
    </row>
    <row r="126" spans="1:36" s="47" customFormat="1" ht="15">
      <c r="A126" s="10"/>
      <c r="B126" s="10"/>
      <c r="C126" s="10"/>
      <c r="D126" s="10"/>
      <c r="E126" s="10"/>
      <c r="F126" s="10"/>
      <c r="G126" s="75" t="s">
        <v>76</v>
      </c>
      <c r="H126" s="9"/>
      <c r="I126" s="9"/>
      <c r="J126" s="9"/>
      <c r="K126" s="42"/>
      <c r="L126" s="76" t="s">
        <v>76</v>
      </c>
      <c r="N126" s="68"/>
      <c r="O126" s="9"/>
      <c r="P126" s="9"/>
      <c r="Q126" s="9"/>
      <c r="R126" s="9"/>
      <c r="S126" s="9" t="s">
        <v>79</v>
      </c>
      <c r="T126" s="9"/>
      <c r="U126" s="9"/>
      <c r="V126" s="9"/>
      <c r="W126" s="9"/>
      <c r="X126" s="9"/>
      <c r="Y126" s="9"/>
      <c r="Z126" s="9"/>
      <c r="AA126" s="9"/>
      <c r="AB126" s="10"/>
      <c r="AC126" s="8"/>
      <c r="AD126" s="8"/>
      <c r="AE126" s="108"/>
      <c r="AH126" s="8"/>
      <c r="AI126" s="8"/>
      <c r="AJ126" s="8"/>
    </row>
  </sheetData>
  <sheetProtection/>
  <mergeCells count="38">
    <mergeCell ref="AH2:AK3"/>
    <mergeCell ref="AF2:AG3"/>
    <mergeCell ref="A2:A4"/>
    <mergeCell ref="B2:B4"/>
    <mergeCell ref="C2:C4"/>
    <mergeCell ref="G2:G4"/>
    <mergeCell ref="H2:H4"/>
    <mergeCell ref="I2:I4"/>
    <mergeCell ref="J2:K2"/>
    <mergeCell ref="L2:M2"/>
    <mergeCell ref="N2:Q2"/>
    <mergeCell ref="R2:S2"/>
    <mergeCell ref="W2:X2"/>
    <mergeCell ref="AC2:AC4"/>
    <mergeCell ref="Z3:Z4"/>
    <mergeCell ref="AA3:AA4"/>
    <mergeCell ref="S3:S4"/>
    <mergeCell ref="U3:V4"/>
    <mergeCell ref="W3:W4"/>
    <mergeCell ref="X3:X4"/>
    <mergeCell ref="T3:T4"/>
    <mergeCell ref="J3:J4"/>
    <mergeCell ref="K3:K4"/>
    <mergeCell ref="L3:L4"/>
    <mergeCell ref="O3:Q4"/>
    <mergeCell ref="M3:M4"/>
    <mergeCell ref="N3:N4"/>
    <mergeCell ref="R3:R4"/>
    <mergeCell ref="D2:F4"/>
    <mergeCell ref="D5:F5"/>
    <mergeCell ref="AA117:AB117"/>
    <mergeCell ref="U115:V115"/>
    <mergeCell ref="AB115:AE115"/>
    <mergeCell ref="AD2:AD4"/>
    <mergeCell ref="AE2:AE4"/>
    <mergeCell ref="Y2:AB2"/>
    <mergeCell ref="AB3:AB4"/>
    <mergeCell ref="Y3:Y4"/>
  </mergeCells>
  <printOptions horizontalCentered="1"/>
  <pageMargins left="0" right="0" top="0" bottom="0" header="0" footer="0"/>
  <pageSetup horizontalDpi="600" verticalDpi="600" orientation="landscape" paperSize="9" r:id="rId1"/>
  <rowBreaks count="2" manualBreakCount="2">
    <brk id="33" max="33" man="1"/>
    <brk id="72" max="33" man="1"/>
  </rowBreaks>
  <colBreaks count="1" manualBreakCount="1">
    <brk id="20" max="1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124"/>
  <sheetViews>
    <sheetView zoomScalePageLayoutView="0" workbookViewId="0" topLeftCell="A2">
      <selection activeCell="L12" sqref="L12"/>
    </sheetView>
  </sheetViews>
  <sheetFormatPr defaultColWidth="9.140625" defaultRowHeight="12.75"/>
  <cols>
    <col min="2" max="2" width="14.7109375" style="0" customWidth="1"/>
    <col min="8" max="8" width="11.28125" style="0" customWidth="1"/>
    <col min="9" max="9" width="0.13671875" style="0" customWidth="1"/>
    <col min="10" max="10" width="9.57421875" style="0" customWidth="1"/>
  </cols>
  <sheetData>
    <row r="2" spans="1:3" ht="27.75" customHeight="1">
      <c r="A2" s="825" t="s">
        <v>130</v>
      </c>
      <c r="B2" s="825"/>
      <c r="C2" s="825"/>
    </row>
    <row r="4" spans="1:10" ht="12.75">
      <c r="A4" s="829" t="s">
        <v>0</v>
      </c>
      <c r="B4" s="830" t="s">
        <v>1</v>
      </c>
      <c r="C4" s="831" t="s">
        <v>110</v>
      </c>
      <c r="D4" s="826" t="s">
        <v>113</v>
      </c>
      <c r="E4" s="826"/>
      <c r="F4" s="826"/>
      <c r="G4" s="826"/>
      <c r="H4" s="826"/>
      <c r="I4" s="826"/>
      <c r="J4" s="826"/>
    </row>
    <row r="5" spans="1:10" ht="12.75">
      <c r="A5" s="829"/>
      <c r="B5" s="830"/>
      <c r="C5" s="831"/>
      <c r="D5" s="826" t="s">
        <v>114</v>
      </c>
      <c r="E5" s="826" t="s">
        <v>37</v>
      </c>
      <c r="F5" s="826" t="s">
        <v>115</v>
      </c>
      <c r="G5" s="826" t="s">
        <v>116</v>
      </c>
      <c r="H5" s="826" t="s">
        <v>117</v>
      </c>
      <c r="I5" s="826" t="s">
        <v>118</v>
      </c>
      <c r="J5" s="826" t="s">
        <v>119</v>
      </c>
    </row>
    <row r="6" spans="1:10" ht="12.75">
      <c r="A6" s="829"/>
      <c r="B6" s="830"/>
      <c r="C6" s="831"/>
      <c r="D6" s="826"/>
      <c r="E6" s="826"/>
      <c r="F6" s="826"/>
      <c r="G6" s="826"/>
      <c r="H6" s="826"/>
      <c r="I6" s="826"/>
      <c r="J6" s="826"/>
    </row>
    <row r="7" spans="1:10" ht="12.75">
      <c r="A7" s="829"/>
      <c r="B7" s="830"/>
      <c r="C7" s="831"/>
      <c r="D7" s="826"/>
      <c r="E7" s="826"/>
      <c r="F7" s="826"/>
      <c r="G7" s="826"/>
      <c r="H7" s="826"/>
      <c r="I7" s="826"/>
      <c r="J7" s="826"/>
    </row>
    <row r="8" spans="1:10" ht="15">
      <c r="A8" s="397">
        <v>1</v>
      </c>
      <c r="B8" s="397">
        <v>2</v>
      </c>
      <c r="C8" s="397">
        <v>3</v>
      </c>
      <c r="D8" s="397">
        <v>4</v>
      </c>
      <c r="E8" s="397">
        <v>5</v>
      </c>
      <c r="F8" s="397">
        <v>6</v>
      </c>
      <c r="G8" s="397">
        <v>7</v>
      </c>
      <c r="H8" s="397">
        <v>8</v>
      </c>
      <c r="I8" s="397">
        <v>9</v>
      </c>
      <c r="J8" s="397">
        <v>10</v>
      </c>
    </row>
    <row r="9" spans="1:10" ht="15">
      <c r="A9" s="398"/>
      <c r="B9" s="272"/>
      <c r="C9" s="273"/>
      <c r="D9" s="399"/>
      <c r="E9" s="399"/>
      <c r="F9" s="399"/>
      <c r="G9" s="399"/>
      <c r="H9" s="399"/>
      <c r="I9" s="399"/>
      <c r="J9" s="400"/>
    </row>
    <row r="10" spans="1:10" ht="15">
      <c r="A10" s="397">
        <v>1</v>
      </c>
      <c r="B10" s="401" t="s">
        <v>27</v>
      </c>
      <c r="C10" s="402">
        <v>2</v>
      </c>
      <c r="D10" s="403"/>
      <c r="E10" s="403"/>
      <c r="F10" s="403"/>
      <c r="G10" s="403"/>
      <c r="H10" s="403"/>
      <c r="I10" s="403"/>
      <c r="J10" s="403"/>
    </row>
    <row r="11" spans="1:10" ht="15">
      <c r="A11" s="397">
        <v>2</v>
      </c>
      <c r="B11" s="401" t="s">
        <v>27</v>
      </c>
      <c r="C11" s="402">
        <v>3</v>
      </c>
      <c r="D11" s="403"/>
      <c r="E11" s="403"/>
      <c r="F11" s="403"/>
      <c r="G11" s="403"/>
      <c r="H11" s="403"/>
      <c r="I11" s="403"/>
      <c r="J11" s="403"/>
    </row>
    <row r="12" spans="1:10" ht="15">
      <c r="A12" s="397">
        <v>3</v>
      </c>
      <c r="B12" s="401" t="s">
        <v>27</v>
      </c>
      <c r="C12" s="402">
        <v>6</v>
      </c>
      <c r="D12" s="403"/>
      <c r="E12" s="403"/>
      <c r="F12" s="403"/>
      <c r="G12" s="403"/>
      <c r="H12" s="403"/>
      <c r="I12" s="403"/>
      <c r="J12" s="403"/>
    </row>
    <row r="13" spans="1:10" ht="15">
      <c r="A13" s="397">
        <v>4</v>
      </c>
      <c r="B13" s="401" t="s">
        <v>27</v>
      </c>
      <c r="C13" s="402">
        <v>7</v>
      </c>
      <c r="D13" s="403"/>
      <c r="E13" s="403"/>
      <c r="F13" s="403"/>
      <c r="G13" s="403"/>
      <c r="H13" s="403"/>
      <c r="I13" s="403"/>
      <c r="J13" s="403"/>
    </row>
    <row r="14" spans="1:10" ht="15">
      <c r="A14" s="397">
        <v>5</v>
      </c>
      <c r="B14" s="401" t="s">
        <v>27</v>
      </c>
      <c r="C14" s="402">
        <v>8</v>
      </c>
      <c r="D14" s="403"/>
      <c r="E14" s="403"/>
      <c r="F14" s="403"/>
      <c r="G14" s="403"/>
      <c r="H14" s="403"/>
      <c r="I14" s="403"/>
      <c r="J14" s="403"/>
    </row>
    <row r="15" spans="1:10" ht="15">
      <c r="A15" s="397">
        <v>6</v>
      </c>
      <c r="B15" s="401" t="s">
        <v>27</v>
      </c>
      <c r="C15" s="402">
        <v>9</v>
      </c>
      <c r="D15" s="403"/>
      <c r="E15" s="403"/>
      <c r="F15" s="403"/>
      <c r="G15" s="403"/>
      <c r="H15" s="403"/>
      <c r="I15" s="403"/>
      <c r="J15" s="403"/>
    </row>
    <row r="16" spans="1:10" ht="15">
      <c r="A16" s="397">
        <v>7</v>
      </c>
      <c r="B16" s="401" t="s">
        <v>27</v>
      </c>
      <c r="C16" s="402">
        <v>10</v>
      </c>
      <c r="D16" s="403"/>
      <c r="E16" s="403"/>
      <c r="F16" s="403"/>
      <c r="G16" s="403"/>
      <c r="H16" s="403"/>
      <c r="I16" s="403"/>
      <c r="J16" s="403"/>
    </row>
    <row r="17" spans="1:10" ht="15">
      <c r="A17" s="397">
        <v>8</v>
      </c>
      <c r="B17" s="401" t="s">
        <v>27</v>
      </c>
      <c r="C17" s="402">
        <v>14</v>
      </c>
      <c r="D17" s="403"/>
      <c r="E17" s="403"/>
      <c r="F17" s="403"/>
      <c r="G17" s="403"/>
      <c r="H17" s="403"/>
      <c r="I17" s="403"/>
      <c r="J17" s="403"/>
    </row>
    <row r="18" spans="1:10" ht="15">
      <c r="A18" s="397">
        <v>9</v>
      </c>
      <c r="B18" s="401" t="s">
        <v>27</v>
      </c>
      <c r="C18" s="402">
        <v>16</v>
      </c>
      <c r="D18" s="403"/>
      <c r="E18" s="403"/>
      <c r="F18" s="403"/>
      <c r="G18" s="403"/>
      <c r="H18" s="403"/>
      <c r="I18" s="403"/>
      <c r="J18" s="403"/>
    </row>
    <row r="19" spans="1:10" ht="15">
      <c r="A19" s="397">
        <v>10</v>
      </c>
      <c r="B19" s="401" t="s">
        <v>27</v>
      </c>
      <c r="C19" s="402">
        <v>17</v>
      </c>
      <c r="D19" s="403"/>
      <c r="E19" s="403"/>
      <c r="F19" s="403"/>
      <c r="G19" s="403"/>
      <c r="H19" s="403"/>
      <c r="I19" s="403"/>
      <c r="J19" s="403"/>
    </row>
    <row r="20" spans="1:10" ht="15">
      <c r="A20" s="397">
        <v>11</v>
      </c>
      <c r="B20" s="401" t="s">
        <v>27</v>
      </c>
      <c r="C20" s="402">
        <v>18</v>
      </c>
      <c r="D20" s="403"/>
      <c r="E20" s="403"/>
      <c r="F20" s="403"/>
      <c r="G20" s="403"/>
      <c r="H20" s="403"/>
      <c r="I20" s="403"/>
      <c r="J20" s="403"/>
    </row>
    <row r="21" spans="1:10" ht="15">
      <c r="A21" s="397">
        <v>12</v>
      </c>
      <c r="B21" s="401" t="s">
        <v>27</v>
      </c>
      <c r="C21" s="402">
        <v>19</v>
      </c>
      <c r="D21" s="403"/>
      <c r="E21" s="403"/>
      <c r="F21" s="403"/>
      <c r="G21" s="403"/>
      <c r="H21" s="403"/>
      <c r="I21" s="403"/>
      <c r="J21" s="403"/>
    </row>
    <row r="22" spans="1:10" ht="15">
      <c r="A22" s="397">
        <v>13</v>
      </c>
      <c r="B22" s="401" t="s">
        <v>27</v>
      </c>
      <c r="C22" s="402">
        <v>21</v>
      </c>
      <c r="D22" s="403"/>
      <c r="E22" s="403"/>
      <c r="F22" s="403"/>
      <c r="G22" s="403"/>
      <c r="H22" s="403"/>
      <c r="I22" s="403"/>
      <c r="J22" s="403"/>
    </row>
    <row r="23" spans="1:10" ht="15">
      <c r="A23" s="397">
        <v>14</v>
      </c>
      <c r="B23" s="401" t="s">
        <v>27</v>
      </c>
      <c r="C23" s="402">
        <v>22</v>
      </c>
      <c r="D23" s="403"/>
      <c r="E23" s="403"/>
      <c r="F23" s="403"/>
      <c r="G23" s="403"/>
      <c r="H23" s="403"/>
      <c r="I23" s="403"/>
      <c r="J23" s="403"/>
    </row>
    <row r="24" spans="1:10" ht="15">
      <c r="A24" s="397">
        <v>15</v>
      </c>
      <c r="B24" s="401" t="s">
        <v>27</v>
      </c>
      <c r="C24" s="402">
        <v>23</v>
      </c>
      <c r="D24" s="403"/>
      <c r="E24" s="403"/>
      <c r="F24" s="403"/>
      <c r="G24" s="403"/>
      <c r="H24" s="403"/>
      <c r="I24" s="403"/>
      <c r="J24" s="403"/>
    </row>
    <row r="25" spans="1:10" ht="15">
      <c r="A25" s="405">
        <v>16</v>
      </c>
      <c r="B25" s="401" t="s">
        <v>131</v>
      </c>
      <c r="C25" s="406">
        <v>24</v>
      </c>
      <c r="D25" s="403"/>
      <c r="E25" s="403"/>
      <c r="F25" s="403"/>
      <c r="G25" s="403"/>
      <c r="H25" s="403"/>
      <c r="I25" s="403"/>
      <c r="J25" s="403"/>
    </row>
    <row r="26" spans="1:10" ht="12.75" customHeight="1">
      <c r="A26" s="635">
        <v>17</v>
      </c>
      <c r="B26" s="634" t="s">
        <v>27</v>
      </c>
      <c r="C26" s="636">
        <v>25</v>
      </c>
      <c r="D26" s="403"/>
      <c r="E26" s="403"/>
      <c r="F26" s="403"/>
      <c r="G26" s="403"/>
      <c r="H26" s="403"/>
      <c r="I26" s="403"/>
      <c r="J26" s="403"/>
    </row>
    <row r="27" spans="1:10" ht="15">
      <c r="A27" s="397">
        <v>18</v>
      </c>
      <c r="B27" s="634" t="s">
        <v>27</v>
      </c>
      <c r="C27" s="402">
        <v>26</v>
      </c>
      <c r="D27" s="403"/>
      <c r="E27" s="403"/>
      <c r="F27" s="403"/>
      <c r="G27" s="403"/>
      <c r="H27" s="403"/>
      <c r="I27" s="403"/>
      <c r="J27" s="403"/>
    </row>
    <row r="28" spans="1:10" ht="15">
      <c r="A28" s="397">
        <v>19</v>
      </c>
      <c r="B28" s="634" t="s">
        <v>27</v>
      </c>
      <c r="C28" s="402">
        <v>27</v>
      </c>
      <c r="D28" s="403"/>
      <c r="E28" s="403"/>
      <c r="F28" s="403"/>
      <c r="G28" s="403"/>
      <c r="H28" s="403"/>
      <c r="I28" s="403"/>
      <c r="J28" s="403"/>
    </row>
    <row r="29" spans="1:10" ht="15">
      <c r="A29" s="397">
        <v>20</v>
      </c>
      <c r="B29" s="634" t="s">
        <v>27</v>
      </c>
      <c r="C29" s="402">
        <v>29</v>
      </c>
      <c r="D29" s="403"/>
      <c r="E29" s="403"/>
      <c r="F29" s="403"/>
      <c r="G29" s="403"/>
      <c r="H29" s="403"/>
      <c r="I29" s="403"/>
      <c r="J29" s="403"/>
    </row>
    <row r="30" spans="1:10" ht="15">
      <c r="A30" s="397">
        <v>21</v>
      </c>
      <c r="B30" s="634" t="s">
        <v>27</v>
      </c>
      <c r="C30" s="402">
        <v>30</v>
      </c>
      <c r="D30" s="403"/>
      <c r="E30" s="403"/>
      <c r="F30" s="403"/>
      <c r="G30" s="403"/>
      <c r="H30" s="403"/>
      <c r="I30" s="403"/>
      <c r="J30" s="403"/>
    </row>
    <row r="31" spans="1:10" ht="15">
      <c r="A31" s="397">
        <v>22</v>
      </c>
      <c r="B31" s="634" t="s">
        <v>27</v>
      </c>
      <c r="C31" s="402">
        <v>31</v>
      </c>
      <c r="D31" s="403"/>
      <c r="E31" s="403"/>
      <c r="F31" s="403"/>
      <c r="G31" s="403"/>
      <c r="H31" s="403"/>
      <c r="I31" s="403"/>
      <c r="J31" s="403"/>
    </row>
    <row r="32" spans="1:10" ht="15">
      <c r="A32" s="397">
        <v>23</v>
      </c>
      <c r="B32" s="634" t="s">
        <v>27</v>
      </c>
      <c r="C32" s="402">
        <v>34</v>
      </c>
      <c r="D32" s="403"/>
      <c r="E32" s="403"/>
      <c r="F32" s="403"/>
      <c r="G32" s="403"/>
      <c r="H32" s="403"/>
      <c r="I32" s="403"/>
      <c r="J32" s="403"/>
    </row>
    <row r="33" spans="1:10" ht="15">
      <c r="A33" s="397">
        <v>24</v>
      </c>
      <c r="B33" s="634" t="s">
        <v>27</v>
      </c>
      <c r="C33" s="402">
        <v>37</v>
      </c>
      <c r="D33" s="403"/>
      <c r="E33" s="403"/>
      <c r="F33" s="403"/>
      <c r="G33" s="403"/>
      <c r="H33" s="403"/>
      <c r="I33" s="403"/>
      <c r="J33" s="403"/>
    </row>
    <row r="34" spans="1:10" ht="15">
      <c r="A34" s="397">
        <v>25</v>
      </c>
      <c r="B34" s="634" t="s">
        <v>27</v>
      </c>
      <c r="C34" s="402">
        <v>38</v>
      </c>
      <c r="D34" s="403"/>
      <c r="E34" s="403"/>
      <c r="F34" s="403"/>
      <c r="G34" s="403"/>
      <c r="H34" s="403"/>
      <c r="I34" s="403"/>
      <c r="J34" s="403"/>
    </row>
    <row r="35" spans="1:10" ht="15">
      <c r="A35" s="397">
        <v>26</v>
      </c>
      <c r="B35" s="401" t="s">
        <v>27</v>
      </c>
      <c r="C35" s="402">
        <v>39</v>
      </c>
      <c r="D35" s="403"/>
      <c r="E35" s="403"/>
      <c r="F35" s="403"/>
      <c r="G35" s="403"/>
      <c r="H35" s="403"/>
      <c r="I35" s="403"/>
      <c r="J35" s="403"/>
    </row>
    <row r="36" spans="1:10" ht="15">
      <c r="A36" s="397">
        <v>27</v>
      </c>
      <c r="B36" s="401" t="s">
        <v>27</v>
      </c>
      <c r="C36" s="402">
        <v>40</v>
      </c>
      <c r="D36" s="403"/>
      <c r="E36" s="403"/>
      <c r="F36" s="403"/>
      <c r="G36" s="403"/>
      <c r="H36" s="403"/>
      <c r="I36" s="403"/>
      <c r="J36" s="403"/>
    </row>
    <row r="37" spans="1:10" ht="15">
      <c r="A37" s="397">
        <v>28</v>
      </c>
      <c r="B37" s="401" t="s">
        <v>27</v>
      </c>
      <c r="C37" s="402">
        <v>41</v>
      </c>
      <c r="D37" s="403"/>
      <c r="E37" s="403"/>
      <c r="F37" s="403"/>
      <c r="G37" s="403"/>
      <c r="H37" s="403"/>
      <c r="I37" s="403"/>
      <c r="J37" s="403"/>
    </row>
    <row r="38" spans="1:10" ht="15">
      <c r="A38" s="397">
        <v>29</v>
      </c>
      <c r="B38" s="401" t="s">
        <v>27</v>
      </c>
      <c r="C38" s="402">
        <v>42</v>
      </c>
      <c r="D38" s="403"/>
      <c r="E38" s="403"/>
      <c r="F38" s="403"/>
      <c r="G38" s="403"/>
      <c r="H38" s="403"/>
      <c r="I38" s="403"/>
      <c r="J38" s="403"/>
    </row>
    <row r="39" spans="1:10" ht="15">
      <c r="A39" s="397">
        <v>30</v>
      </c>
      <c r="B39" s="401" t="s">
        <v>27</v>
      </c>
      <c r="C39" s="402">
        <v>43</v>
      </c>
      <c r="D39" s="403"/>
      <c r="E39" s="403"/>
      <c r="F39" s="403"/>
      <c r="G39" s="403"/>
      <c r="H39" s="403"/>
      <c r="I39" s="403"/>
      <c r="J39" s="403"/>
    </row>
    <row r="40" spans="1:10" ht="15">
      <c r="A40" s="397">
        <v>31</v>
      </c>
      <c r="B40" s="401" t="s">
        <v>27</v>
      </c>
      <c r="C40" s="402">
        <v>44</v>
      </c>
      <c r="D40" s="403"/>
      <c r="E40" s="403"/>
      <c r="F40" s="403"/>
      <c r="G40" s="403"/>
      <c r="H40" s="403"/>
      <c r="I40" s="403"/>
      <c r="J40" s="403"/>
    </row>
    <row r="41" spans="1:10" ht="15">
      <c r="A41" s="397">
        <v>32</v>
      </c>
      <c r="B41" s="401" t="s">
        <v>27</v>
      </c>
      <c r="C41" s="402">
        <v>45</v>
      </c>
      <c r="D41" s="403"/>
      <c r="E41" s="403"/>
      <c r="F41" s="403"/>
      <c r="G41" s="403"/>
      <c r="H41" s="403"/>
      <c r="I41" s="403"/>
      <c r="J41" s="403"/>
    </row>
    <row r="42" spans="1:10" ht="15.75" thickBot="1">
      <c r="A42" s="638">
        <v>33</v>
      </c>
      <c r="B42" s="639" t="s">
        <v>27</v>
      </c>
      <c r="C42" s="640">
        <v>46</v>
      </c>
      <c r="D42" s="403"/>
      <c r="E42" s="403"/>
      <c r="F42" s="403"/>
      <c r="G42" s="403"/>
      <c r="H42" s="403"/>
      <c r="I42" s="403"/>
      <c r="J42" s="403"/>
    </row>
    <row r="43" spans="1:10" ht="15.75" thickTop="1">
      <c r="A43" s="631">
        <v>34</v>
      </c>
      <c r="B43" s="637" t="s">
        <v>41</v>
      </c>
      <c r="C43" s="633">
        <v>1</v>
      </c>
      <c r="D43" s="403"/>
      <c r="E43" s="403"/>
      <c r="F43" s="403"/>
      <c r="G43" s="403"/>
      <c r="H43" s="403"/>
      <c r="I43" s="403"/>
      <c r="J43" s="403"/>
    </row>
    <row r="44" spans="1:10" ht="15">
      <c r="A44" s="397">
        <v>35</v>
      </c>
      <c r="B44" s="637" t="s">
        <v>41</v>
      </c>
      <c r="C44" s="402">
        <v>2</v>
      </c>
      <c r="D44" s="403"/>
      <c r="E44" s="403"/>
      <c r="F44" s="403"/>
      <c r="G44" s="403"/>
      <c r="H44" s="403"/>
      <c r="I44" s="403"/>
      <c r="J44" s="403"/>
    </row>
    <row r="45" spans="1:10" ht="15">
      <c r="A45" s="397">
        <v>36</v>
      </c>
      <c r="B45" s="637" t="s">
        <v>41</v>
      </c>
      <c r="C45" s="402">
        <v>3</v>
      </c>
      <c r="D45" s="403"/>
      <c r="E45" s="403"/>
      <c r="F45" s="403"/>
      <c r="G45" s="403"/>
      <c r="H45" s="403"/>
      <c r="I45" s="403"/>
      <c r="J45" s="403"/>
    </row>
    <row r="46" spans="1:10" ht="15">
      <c r="A46" s="397">
        <v>37</v>
      </c>
      <c r="B46" s="637" t="s">
        <v>41</v>
      </c>
      <c r="C46" s="402">
        <v>4</v>
      </c>
      <c r="D46" s="403"/>
      <c r="E46" s="403"/>
      <c r="F46" s="403"/>
      <c r="G46" s="403"/>
      <c r="H46" s="403"/>
      <c r="I46" s="403"/>
      <c r="J46" s="403"/>
    </row>
    <row r="47" spans="1:10" ht="15">
      <c r="A47" s="397">
        <v>38</v>
      </c>
      <c r="B47" s="637" t="s">
        <v>41</v>
      </c>
      <c r="C47" s="402">
        <v>5</v>
      </c>
      <c r="D47" s="403"/>
      <c r="E47" s="403"/>
      <c r="F47" s="403"/>
      <c r="G47" s="403"/>
      <c r="H47" s="403"/>
      <c r="I47" s="403"/>
      <c r="J47" s="403"/>
    </row>
    <row r="48" spans="1:10" ht="15">
      <c r="A48" s="397">
        <v>39</v>
      </c>
      <c r="B48" s="637" t="s">
        <v>41</v>
      </c>
      <c r="C48" s="402">
        <v>6</v>
      </c>
      <c r="D48" s="403"/>
      <c r="E48" s="403"/>
      <c r="F48" s="403"/>
      <c r="G48" s="403"/>
      <c r="H48" s="403"/>
      <c r="I48" s="403"/>
      <c r="J48" s="403"/>
    </row>
    <row r="49" spans="1:10" ht="15">
      <c r="A49" s="397">
        <v>40</v>
      </c>
      <c r="B49" s="637" t="s">
        <v>41</v>
      </c>
      <c r="C49" s="402">
        <v>8</v>
      </c>
      <c r="D49" s="403"/>
      <c r="E49" s="403"/>
      <c r="F49" s="403"/>
      <c r="G49" s="403"/>
      <c r="H49" s="403"/>
      <c r="I49" s="403"/>
      <c r="J49" s="403"/>
    </row>
    <row r="50" spans="1:10" ht="15.75" thickBot="1">
      <c r="A50" s="638">
        <v>41</v>
      </c>
      <c r="B50" s="641" t="s">
        <v>41</v>
      </c>
      <c r="C50" s="640">
        <v>9</v>
      </c>
      <c r="D50" s="403"/>
      <c r="E50" s="403"/>
      <c r="F50" s="403"/>
      <c r="G50" s="403"/>
      <c r="H50" s="403"/>
      <c r="I50" s="403"/>
      <c r="J50" s="403"/>
    </row>
    <row r="51" spans="1:10" ht="15.75" thickTop="1">
      <c r="A51" s="631">
        <v>42</v>
      </c>
      <c r="B51" s="632" t="s">
        <v>43</v>
      </c>
      <c r="C51" s="633">
        <v>1</v>
      </c>
      <c r="D51" s="403"/>
      <c r="E51" s="403"/>
      <c r="F51" s="403"/>
      <c r="G51" s="403"/>
      <c r="H51" s="403"/>
      <c r="I51" s="403"/>
      <c r="J51" s="403"/>
    </row>
    <row r="52" spans="1:10" ht="15">
      <c r="A52" s="397">
        <v>43</v>
      </c>
      <c r="B52" s="632" t="s">
        <v>43</v>
      </c>
      <c r="C52" s="402">
        <v>2</v>
      </c>
      <c r="D52" s="403"/>
      <c r="E52" s="403"/>
      <c r="F52" s="403"/>
      <c r="G52" s="403"/>
      <c r="H52" s="403"/>
      <c r="I52" s="403"/>
      <c r="J52" s="403"/>
    </row>
    <row r="53" spans="1:10" ht="15">
      <c r="A53" s="397">
        <v>44</v>
      </c>
      <c r="B53" s="632" t="s">
        <v>43</v>
      </c>
      <c r="C53" s="402">
        <v>3</v>
      </c>
      <c r="D53" s="403"/>
      <c r="E53" s="403"/>
      <c r="F53" s="403"/>
      <c r="G53" s="403"/>
      <c r="H53" s="403"/>
      <c r="I53" s="403"/>
      <c r="J53" s="403"/>
    </row>
    <row r="54" spans="1:10" ht="15">
      <c r="A54" s="397">
        <v>45</v>
      </c>
      <c r="B54" s="632" t="s">
        <v>43</v>
      </c>
      <c r="C54" s="402">
        <v>4</v>
      </c>
      <c r="D54" s="403"/>
      <c r="E54" s="403"/>
      <c r="F54" s="403"/>
      <c r="G54" s="403"/>
      <c r="H54" s="403"/>
      <c r="I54" s="403"/>
      <c r="J54" s="403"/>
    </row>
    <row r="55" spans="1:10" ht="15">
      <c r="A55" s="397">
        <v>46</v>
      </c>
      <c r="B55" s="632" t="s">
        <v>43</v>
      </c>
      <c r="C55" s="402">
        <v>5</v>
      </c>
      <c r="D55" s="403"/>
      <c r="E55" s="403"/>
      <c r="F55" s="403"/>
      <c r="G55" s="403"/>
      <c r="H55" s="403"/>
      <c r="I55" s="403"/>
      <c r="J55" s="403"/>
    </row>
    <row r="56" spans="1:10" ht="15">
      <c r="A56" s="397">
        <v>47</v>
      </c>
      <c r="B56" s="632" t="s">
        <v>43</v>
      </c>
      <c r="C56" s="402">
        <v>6</v>
      </c>
      <c r="D56" s="403"/>
      <c r="E56" s="403"/>
      <c r="F56" s="403"/>
      <c r="G56" s="403"/>
      <c r="H56" s="403"/>
      <c r="I56" s="403"/>
      <c r="J56" s="403"/>
    </row>
    <row r="57" spans="1:10" ht="15">
      <c r="A57" s="397">
        <v>48</v>
      </c>
      <c r="B57" s="632" t="s">
        <v>43</v>
      </c>
      <c r="C57" s="402">
        <v>7</v>
      </c>
      <c r="D57" s="403"/>
      <c r="E57" s="403"/>
      <c r="F57" s="403"/>
      <c r="G57" s="403"/>
      <c r="H57" s="403"/>
      <c r="I57" s="403"/>
      <c r="J57" s="403"/>
    </row>
    <row r="58" spans="1:10" ht="15">
      <c r="A58" s="397">
        <v>49</v>
      </c>
      <c r="B58" s="632" t="s">
        <v>43</v>
      </c>
      <c r="C58" s="402">
        <v>8</v>
      </c>
      <c r="D58" s="403"/>
      <c r="E58" s="403"/>
      <c r="F58" s="403"/>
      <c r="G58" s="403"/>
      <c r="H58" s="403"/>
      <c r="I58" s="403"/>
      <c r="J58" s="403"/>
    </row>
    <row r="59" spans="1:10" ht="15">
      <c r="A59" s="628">
        <v>50</v>
      </c>
      <c r="B59" s="630" t="s">
        <v>43</v>
      </c>
      <c r="C59" s="629">
        <v>9</v>
      </c>
      <c r="D59" s="644"/>
      <c r="E59" s="642"/>
      <c r="F59" s="642"/>
      <c r="G59" s="642"/>
      <c r="H59" s="642"/>
      <c r="I59" s="642"/>
      <c r="J59" s="642"/>
    </row>
    <row r="60" spans="1:8" s="399" customFormat="1" ht="15">
      <c r="A60" s="397">
        <v>51</v>
      </c>
      <c r="B60" s="401" t="s">
        <v>43</v>
      </c>
      <c r="C60" s="402">
        <v>10</v>
      </c>
      <c r="D60" s="403"/>
      <c r="E60" s="403"/>
      <c r="F60" s="403"/>
      <c r="G60" s="403"/>
      <c r="H60" s="403"/>
    </row>
    <row r="61" spans="1:8" s="399" customFormat="1" ht="15">
      <c r="A61" s="397">
        <v>52</v>
      </c>
      <c r="B61" s="404" t="s">
        <v>44</v>
      </c>
      <c r="C61" s="402">
        <v>1</v>
      </c>
      <c r="D61" s="403"/>
      <c r="E61" s="403"/>
      <c r="F61" s="403"/>
      <c r="G61" s="403"/>
      <c r="H61" s="403"/>
    </row>
    <row r="62" spans="1:10" ht="15">
      <c r="A62" s="631">
        <v>53</v>
      </c>
      <c r="B62" s="637" t="s">
        <v>44</v>
      </c>
      <c r="C62" s="633">
        <v>2</v>
      </c>
      <c r="D62" s="643"/>
      <c r="E62" s="643"/>
      <c r="F62" s="643"/>
      <c r="G62" s="643"/>
      <c r="H62" s="643"/>
      <c r="I62" s="643"/>
      <c r="J62" s="643"/>
    </row>
    <row r="63" spans="1:10" ht="15">
      <c r="A63" s="397">
        <v>54</v>
      </c>
      <c r="B63" s="637" t="s">
        <v>44</v>
      </c>
      <c r="C63" s="402">
        <v>3</v>
      </c>
      <c r="D63" s="403"/>
      <c r="E63" s="403"/>
      <c r="F63" s="403"/>
      <c r="G63" s="403"/>
      <c r="H63" s="403"/>
      <c r="I63" s="403"/>
      <c r="J63" s="403"/>
    </row>
    <row r="64" spans="1:10" ht="15.75" thickBot="1">
      <c r="A64" s="638">
        <v>55</v>
      </c>
      <c r="B64" s="641" t="s">
        <v>44</v>
      </c>
      <c r="C64" s="640">
        <v>4</v>
      </c>
      <c r="D64" s="403"/>
      <c r="E64" s="403"/>
      <c r="F64" s="403"/>
      <c r="G64" s="403"/>
      <c r="H64" s="403"/>
      <c r="I64" s="403"/>
      <c r="J64" s="403"/>
    </row>
    <row r="65" spans="1:10" ht="15.75" thickTop="1">
      <c r="A65" s="631">
        <v>56</v>
      </c>
      <c r="B65" s="637" t="s">
        <v>45</v>
      </c>
      <c r="C65" s="633">
        <v>1</v>
      </c>
      <c r="D65" s="403"/>
      <c r="E65" s="403"/>
      <c r="F65" s="403"/>
      <c r="G65" s="403"/>
      <c r="H65" s="403"/>
      <c r="I65" s="403"/>
      <c r="J65" s="403"/>
    </row>
    <row r="66" spans="1:10" ht="15">
      <c r="A66" s="397">
        <v>57</v>
      </c>
      <c r="B66" s="637" t="s">
        <v>45</v>
      </c>
      <c r="C66" s="402">
        <v>2</v>
      </c>
      <c r="D66" s="403"/>
      <c r="E66" s="403"/>
      <c r="F66" s="403"/>
      <c r="G66" s="403"/>
      <c r="H66" s="403"/>
      <c r="I66" s="403"/>
      <c r="J66" s="403"/>
    </row>
    <row r="67" spans="1:10" ht="15">
      <c r="A67" s="397">
        <v>58</v>
      </c>
      <c r="B67" s="637" t="s">
        <v>45</v>
      </c>
      <c r="C67" s="402">
        <v>3</v>
      </c>
      <c r="D67" s="403"/>
      <c r="E67" s="403"/>
      <c r="F67" s="403"/>
      <c r="G67" s="403"/>
      <c r="H67" s="403"/>
      <c r="I67" s="403"/>
      <c r="J67" s="403"/>
    </row>
    <row r="68" spans="1:10" ht="15">
      <c r="A68" s="397">
        <v>59</v>
      </c>
      <c r="B68" s="637" t="s">
        <v>45</v>
      </c>
      <c r="C68" s="402">
        <v>57</v>
      </c>
      <c r="D68" s="403"/>
      <c r="E68" s="403"/>
      <c r="F68" s="403"/>
      <c r="G68" s="403"/>
      <c r="H68" s="403"/>
      <c r="I68" s="403"/>
      <c r="J68" s="403"/>
    </row>
    <row r="69" spans="1:10" ht="15">
      <c r="A69" s="397">
        <v>60</v>
      </c>
      <c r="B69" s="637" t="s">
        <v>45</v>
      </c>
      <c r="C69" s="402">
        <v>60</v>
      </c>
      <c r="D69" s="403"/>
      <c r="E69" s="403"/>
      <c r="F69" s="403"/>
      <c r="G69" s="403"/>
      <c r="H69" s="403"/>
      <c r="I69" s="403"/>
      <c r="J69" s="403"/>
    </row>
    <row r="70" spans="1:10" ht="15">
      <c r="A70" s="397">
        <v>61</v>
      </c>
      <c r="B70" s="637" t="s">
        <v>45</v>
      </c>
      <c r="C70" s="402">
        <v>64</v>
      </c>
      <c r="D70" s="403"/>
      <c r="E70" s="403"/>
      <c r="F70" s="403"/>
      <c r="G70" s="403"/>
      <c r="H70" s="403"/>
      <c r="I70" s="403"/>
      <c r="J70" s="403"/>
    </row>
    <row r="71" spans="1:10" ht="15.75" thickBot="1">
      <c r="A71" s="638">
        <v>62</v>
      </c>
      <c r="B71" s="641" t="s">
        <v>45</v>
      </c>
      <c r="C71" s="640">
        <v>91</v>
      </c>
      <c r="D71" s="403"/>
      <c r="E71" s="403"/>
      <c r="F71" s="403"/>
      <c r="G71" s="403"/>
      <c r="H71" s="403"/>
      <c r="I71" s="403"/>
      <c r="J71" s="403"/>
    </row>
    <row r="72" spans="1:10" ht="15.75" thickTop="1">
      <c r="A72" s="631">
        <v>63</v>
      </c>
      <c r="B72" s="637" t="s">
        <v>47</v>
      </c>
      <c r="C72" s="633">
        <v>1</v>
      </c>
      <c r="D72" s="403"/>
      <c r="E72" s="403"/>
      <c r="F72" s="403"/>
      <c r="G72" s="403"/>
      <c r="H72" s="403"/>
      <c r="I72" s="403"/>
      <c r="J72" s="403"/>
    </row>
    <row r="73" spans="1:10" ht="15">
      <c r="A73" s="405">
        <v>64</v>
      </c>
      <c r="B73" s="637" t="s">
        <v>129</v>
      </c>
      <c r="C73" s="406">
        <v>3</v>
      </c>
      <c r="D73" s="403"/>
      <c r="E73" s="403"/>
      <c r="F73" s="403"/>
      <c r="G73" s="403"/>
      <c r="H73" s="403"/>
      <c r="I73" s="403"/>
      <c r="J73" s="403"/>
    </row>
    <row r="74" spans="1:10" ht="12.75" customHeight="1">
      <c r="A74" s="635">
        <v>65</v>
      </c>
      <c r="B74" s="637" t="s">
        <v>47</v>
      </c>
      <c r="C74" s="636">
        <v>4</v>
      </c>
      <c r="D74" s="403"/>
      <c r="E74" s="403"/>
      <c r="F74" s="403"/>
      <c r="G74" s="403"/>
      <c r="H74" s="403"/>
      <c r="I74" s="403"/>
      <c r="J74" s="403"/>
    </row>
    <row r="75" spans="1:10" ht="15">
      <c r="A75" s="397">
        <v>66</v>
      </c>
      <c r="B75" s="637" t="s">
        <v>47</v>
      </c>
      <c r="C75" s="402">
        <v>5</v>
      </c>
      <c r="D75" s="403"/>
      <c r="E75" s="403"/>
      <c r="F75" s="403"/>
      <c r="G75" s="403"/>
      <c r="H75" s="403"/>
      <c r="I75" s="403"/>
      <c r="J75" s="403"/>
    </row>
    <row r="76" spans="1:10" ht="15">
      <c r="A76" s="397">
        <v>67</v>
      </c>
      <c r="B76" s="404" t="s">
        <v>48</v>
      </c>
      <c r="C76" s="402">
        <v>1</v>
      </c>
      <c r="D76" s="403"/>
      <c r="E76" s="403"/>
      <c r="F76" s="403"/>
      <c r="G76" s="403"/>
      <c r="H76" s="403"/>
      <c r="I76" s="403"/>
      <c r="J76" s="403"/>
    </row>
    <row r="77" spans="1:10" ht="15">
      <c r="A77" s="397">
        <v>68</v>
      </c>
      <c r="B77" s="404" t="s">
        <v>48</v>
      </c>
      <c r="C77" s="402">
        <v>2</v>
      </c>
      <c r="D77" s="403"/>
      <c r="E77" s="403"/>
      <c r="F77" s="403"/>
      <c r="G77" s="403"/>
      <c r="H77" s="403"/>
      <c r="I77" s="403"/>
      <c r="J77" s="403"/>
    </row>
    <row r="78" spans="1:10" ht="15">
      <c r="A78" s="397">
        <v>69</v>
      </c>
      <c r="B78" s="404" t="s">
        <v>48</v>
      </c>
      <c r="C78" s="402">
        <v>3</v>
      </c>
      <c r="D78" s="403"/>
      <c r="E78" s="403"/>
      <c r="F78" s="403"/>
      <c r="G78" s="403"/>
      <c r="H78" s="403"/>
      <c r="I78" s="403"/>
      <c r="J78" s="403"/>
    </row>
    <row r="79" spans="1:10" ht="15">
      <c r="A79" s="397">
        <v>70</v>
      </c>
      <c r="B79" s="404" t="s">
        <v>48</v>
      </c>
      <c r="C79" s="402">
        <v>4</v>
      </c>
      <c r="D79" s="403"/>
      <c r="E79" s="403"/>
      <c r="F79" s="403"/>
      <c r="G79" s="403"/>
      <c r="H79" s="403"/>
      <c r="I79" s="403"/>
      <c r="J79" s="403"/>
    </row>
    <row r="80" spans="1:10" ht="15">
      <c r="A80" s="397">
        <v>71</v>
      </c>
      <c r="B80" s="404" t="s">
        <v>48</v>
      </c>
      <c r="C80" s="402">
        <v>5</v>
      </c>
      <c r="D80" s="403"/>
      <c r="E80" s="403"/>
      <c r="F80" s="403"/>
      <c r="G80" s="403"/>
      <c r="H80" s="403"/>
      <c r="I80" s="403"/>
      <c r="J80" s="403"/>
    </row>
    <row r="81" spans="1:10" ht="15">
      <c r="A81" s="397">
        <v>72</v>
      </c>
      <c r="B81" s="404" t="s">
        <v>48</v>
      </c>
      <c r="C81" s="402">
        <v>6</v>
      </c>
      <c r="D81" s="403"/>
      <c r="E81" s="403"/>
      <c r="F81" s="403"/>
      <c r="G81" s="403"/>
      <c r="H81" s="403"/>
      <c r="I81" s="403"/>
      <c r="J81" s="403"/>
    </row>
    <row r="82" spans="1:10" ht="15">
      <c r="A82" s="397">
        <v>73</v>
      </c>
      <c r="B82" s="404" t="s">
        <v>48</v>
      </c>
      <c r="C82" s="402">
        <v>7</v>
      </c>
      <c r="D82" s="403"/>
      <c r="E82" s="403"/>
      <c r="F82" s="403"/>
      <c r="G82" s="403"/>
      <c r="H82" s="403"/>
      <c r="I82" s="403"/>
      <c r="J82" s="403"/>
    </row>
    <row r="83" spans="1:10" ht="15">
      <c r="A83" s="397">
        <v>74</v>
      </c>
      <c r="B83" s="404" t="s">
        <v>48</v>
      </c>
      <c r="C83" s="402">
        <v>8</v>
      </c>
      <c r="D83" s="403"/>
      <c r="E83" s="403"/>
      <c r="F83" s="403"/>
      <c r="G83" s="403"/>
      <c r="H83" s="403"/>
      <c r="I83" s="403"/>
      <c r="J83" s="403"/>
    </row>
    <row r="84" spans="1:10" ht="15">
      <c r="A84" s="397">
        <v>75</v>
      </c>
      <c r="B84" s="404" t="s">
        <v>48</v>
      </c>
      <c r="C84" s="402">
        <v>9</v>
      </c>
      <c r="D84" s="403"/>
      <c r="E84" s="403"/>
      <c r="F84" s="403"/>
      <c r="G84" s="403"/>
      <c r="H84" s="403"/>
      <c r="I84" s="403"/>
      <c r="J84" s="403"/>
    </row>
    <row r="85" spans="1:10" ht="15">
      <c r="A85" s="397">
        <v>76</v>
      </c>
      <c r="B85" s="404" t="s">
        <v>48</v>
      </c>
      <c r="C85" s="402">
        <v>10</v>
      </c>
      <c r="D85" s="403"/>
      <c r="E85" s="403"/>
      <c r="F85" s="403"/>
      <c r="G85" s="403"/>
      <c r="H85" s="403"/>
      <c r="I85" s="403"/>
      <c r="J85" s="403"/>
    </row>
    <row r="86" spans="1:10" ht="15">
      <c r="A86" s="397">
        <v>77</v>
      </c>
      <c r="B86" s="404" t="s">
        <v>48</v>
      </c>
      <c r="C86" s="402">
        <v>11</v>
      </c>
      <c r="D86" s="403"/>
      <c r="E86" s="403"/>
      <c r="F86" s="403"/>
      <c r="G86" s="403"/>
      <c r="H86" s="403"/>
      <c r="I86" s="403"/>
      <c r="J86" s="403"/>
    </row>
    <row r="87" spans="1:10" ht="15">
      <c r="A87" s="397">
        <v>78</v>
      </c>
      <c r="B87" s="404" t="s">
        <v>48</v>
      </c>
      <c r="C87" s="402">
        <v>12</v>
      </c>
      <c r="D87" s="403"/>
      <c r="E87" s="403"/>
      <c r="F87" s="403"/>
      <c r="G87" s="403"/>
      <c r="H87" s="403"/>
      <c r="I87" s="403"/>
      <c r="J87" s="403"/>
    </row>
    <row r="88" spans="1:10" ht="15">
      <c r="A88" s="397">
        <v>79</v>
      </c>
      <c r="B88" s="404" t="s">
        <v>48</v>
      </c>
      <c r="C88" s="402">
        <v>13</v>
      </c>
      <c r="D88" s="403"/>
      <c r="E88" s="403"/>
      <c r="F88" s="403"/>
      <c r="G88" s="403"/>
      <c r="H88" s="403"/>
      <c r="I88" s="403"/>
      <c r="J88" s="403"/>
    </row>
    <row r="89" spans="1:10" ht="15">
      <c r="A89" s="397">
        <v>80</v>
      </c>
      <c r="B89" s="404" t="s">
        <v>48</v>
      </c>
      <c r="C89" s="402">
        <v>15</v>
      </c>
      <c r="D89" s="403"/>
      <c r="E89" s="403"/>
      <c r="F89" s="403"/>
      <c r="G89" s="403"/>
      <c r="H89" s="403"/>
      <c r="I89" s="403"/>
      <c r="J89" s="403"/>
    </row>
    <row r="90" spans="1:10" ht="12.75">
      <c r="A90" s="407"/>
      <c r="B90" s="408" t="s">
        <v>120</v>
      </c>
      <c r="C90" s="415"/>
      <c r="D90" s="403"/>
      <c r="E90" s="403"/>
      <c r="F90" s="403"/>
      <c r="G90" s="403"/>
      <c r="H90" s="403"/>
      <c r="I90" s="403"/>
      <c r="J90" s="403"/>
    </row>
    <row r="91" spans="1:10" ht="12.75">
      <c r="A91" s="410">
        <v>1</v>
      </c>
      <c r="B91" s="409"/>
      <c r="C91" s="416">
        <v>1</v>
      </c>
      <c r="D91" s="403"/>
      <c r="E91" s="403"/>
      <c r="F91" s="403"/>
      <c r="G91" s="403"/>
      <c r="H91" s="403"/>
      <c r="I91" s="403"/>
      <c r="J91" s="403"/>
    </row>
    <row r="92" spans="1:10" ht="12.75">
      <c r="A92" s="410">
        <v>2</v>
      </c>
      <c r="B92" s="409"/>
      <c r="C92" s="416">
        <v>2</v>
      </c>
      <c r="D92" s="403"/>
      <c r="E92" s="403"/>
      <c r="F92" s="403"/>
      <c r="G92" s="403"/>
      <c r="H92" s="403"/>
      <c r="I92" s="403"/>
      <c r="J92" s="403"/>
    </row>
    <row r="93" spans="1:10" ht="12.75">
      <c r="A93" s="410">
        <v>3</v>
      </c>
      <c r="B93" s="409"/>
      <c r="C93" s="416">
        <v>3</v>
      </c>
      <c r="D93" s="403"/>
      <c r="E93" s="403"/>
      <c r="F93" s="403"/>
      <c r="G93" s="403"/>
      <c r="H93" s="403"/>
      <c r="I93" s="403"/>
      <c r="J93" s="403"/>
    </row>
    <row r="94" spans="1:10" ht="12.75">
      <c r="A94" s="410">
        <v>4</v>
      </c>
      <c r="B94" s="409"/>
      <c r="C94" s="416">
        <v>4</v>
      </c>
      <c r="D94" s="403"/>
      <c r="E94" s="403"/>
      <c r="F94" s="403"/>
      <c r="G94" s="403"/>
      <c r="H94" s="403"/>
      <c r="I94" s="403"/>
      <c r="J94" s="403"/>
    </row>
    <row r="95" spans="1:10" ht="12.75">
      <c r="A95" s="410">
        <v>5</v>
      </c>
      <c r="B95" s="409"/>
      <c r="C95" s="416">
        <v>5</v>
      </c>
      <c r="D95" s="403"/>
      <c r="E95" s="403"/>
      <c r="F95" s="403"/>
      <c r="G95" s="403"/>
      <c r="H95" s="403"/>
      <c r="I95" s="403"/>
      <c r="J95" s="403"/>
    </row>
    <row r="96" spans="1:10" ht="12.75">
      <c r="A96" s="410">
        <v>6</v>
      </c>
      <c r="B96" s="409"/>
      <c r="C96" s="416">
        <v>6</v>
      </c>
      <c r="D96" s="403"/>
      <c r="E96" s="403"/>
      <c r="F96" s="403"/>
      <c r="G96" s="403"/>
      <c r="H96" s="403"/>
      <c r="I96" s="403"/>
      <c r="J96" s="403"/>
    </row>
    <row r="97" spans="1:10" ht="12.75">
      <c r="A97" s="410">
        <v>7</v>
      </c>
      <c r="B97" s="409"/>
      <c r="C97" s="416">
        <v>7</v>
      </c>
      <c r="D97" s="403"/>
      <c r="E97" s="403"/>
      <c r="F97" s="403"/>
      <c r="G97" s="403"/>
      <c r="H97" s="403"/>
      <c r="I97" s="403"/>
      <c r="J97" s="403"/>
    </row>
    <row r="98" spans="1:10" ht="12.75">
      <c r="A98" s="410">
        <v>8</v>
      </c>
      <c r="B98" s="409"/>
      <c r="C98" s="416">
        <v>8</v>
      </c>
      <c r="D98" s="403"/>
      <c r="E98" s="403"/>
      <c r="F98" s="403"/>
      <c r="G98" s="403"/>
      <c r="H98" s="403"/>
      <c r="I98" s="403"/>
      <c r="J98" s="403"/>
    </row>
    <row r="99" spans="1:10" ht="12.75">
      <c r="A99" s="410">
        <v>9</v>
      </c>
      <c r="B99" s="409"/>
      <c r="C99" s="416">
        <v>9</v>
      </c>
      <c r="D99" s="403"/>
      <c r="E99" s="403"/>
      <c r="F99" s="403"/>
      <c r="G99" s="403"/>
      <c r="H99" s="403"/>
      <c r="I99" s="403"/>
      <c r="J99" s="403"/>
    </row>
    <row r="100" spans="1:10" ht="12.75">
      <c r="A100" s="410">
        <v>10</v>
      </c>
      <c r="B100" s="409"/>
      <c r="C100" s="416">
        <v>10</v>
      </c>
      <c r="D100" s="403"/>
      <c r="E100" s="403"/>
      <c r="F100" s="403"/>
      <c r="G100" s="403"/>
      <c r="H100" s="403"/>
      <c r="I100" s="403"/>
      <c r="J100" s="403"/>
    </row>
    <row r="101" spans="1:10" ht="12.75">
      <c r="A101" s="415"/>
      <c r="B101" s="411" t="s">
        <v>121</v>
      </c>
      <c r="C101" s="412"/>
      <c r="D101" s="403"/>
      <c r="E101" s="403"/>
      <c r="F101" s="403"/>
      <c r="G101" s="403"/>
      <c r="H101" s="403"/>
      <c r="I101" s="403"/>
      <c r="J101" s="403"/>
    </row>
    <row r="102" spans="1:10" ht="12.75">
      <c r="A102" s="418">
        <v>1</v>
      </c>
      <c r="B102" s="413" t="s">
        <v>122</v>
      </c>
      <c r="C102" s="417">
        <v>4</v>
      </c>
      <c r="D102" s="403"/>
      <c r="E102" s="403"/>
      <c r="F102" s="403"/>
      <c r="G102" s="403"/>
      <c r="H102" s="403"/>
      <c r="I102" s="403"/>
      <c r="J102" s="403"/>
    </row>
    <row r="103" spans="1:10" ht="12.75">
      <c r="A103" s="418">
        <v>2</v>
      </c>
      <c r="B103" s="414" t="s">
        <v>123</v>
      </c>
      <c r="C103" s="417">
        <v>5</v>
      </c>
      <c r="D103" s="403"/>
      <c r="E103" s="403"/>
      <c r="F103" s="403"/>
      <c r="G103" s="403"/>
      <c r="H103" s="403"/>
      <c r="I103" s="403"/>
      <c r="J103" s="403"/>
    </row>
    <row r="104" spans="1:10" ht="12.75">
      <c r="A104" s="418">
        <v>3</v>
      </c>
      <c r="B104" s="414" t="s">
        <v>123</v>
      </c>
      <c r="C104" s="417">
        <v>6</v>
      </c>
      <c r="D104" s="403"/>
      <c r="E104" s="403"/>
      <c r="F104" s="403"/>
      <c r="G104" s="403"/>
      <c r="H104" s="403"/>
      <c r="I104" s="403"/>
      <c r="J104" s="403"/>
    </row>
    <row r="105" spans="1:10" ht="12.75">
      <c r="A105" s="418">
        <v>4</v>
      </c>
      <c r="B105" s="414" t="s">
        <v>123</v>
      </c>
      <c r="C105" s="417">
        <v>7</v>
      </c>
      <c r="D105" s="403"/>
      <c r="E105" s="403"/>
      <c r="F105" s="403"/>
      <c r="G105" s="403"/>
      <c r="H105" s="403"/>
      <c r="I105" s="403"/>
      <c r="J105" s="403"/>
    </row>
    <row r="106" spans="1:10" ht="12.75">
      <c r="A106" s="418">
        <v>5</v>
      </c>
      <c r="B106" s="414" t="s">
        <v>123</v>
      </c>
      <c r="C106" s="417">
        <v>8</v>
      </c>
      <c r="D106" s="403"/>
      <c r="E106" s="403"/>
      <c r="F106" s="403"/>
      <c r="G106" s="403"/>
      <c r="H106" s="403"/>
      <c r="I106" s="403"/>
      <c r="J106" s="403"/>
    </row>
    <row r="107" spans="1:10" ht="12.75">
      <c r="A107" s="418">
        <v>6</v>
      </c>
      <c r="B107" s="414" t="s">
        <v>123</v>
      </c>
      <c r="C107" s="417">
        <v>10</v>
      </c>
      <c r="D107" s="403"/>
      <c r="E107" s="403"/>
      <c r="F107" s="403"/>
      <c r="G107" s="403"/>
      <c r="H107" s="403"/>
      <c r="I107" s="403"/>
      <c r="J107" s="403"/>
    </row>
    <row r="108" spans="1:10" ht="12.75">
      <c r="A108" s="418">
        <v>7</v>
      </c>
      <c r="B108" s="414" t="s">
        <v>124</v>
      </c>
      <c r="C108" s="417">
        <v>9</v>
      </c>
      <c r="D108" s="403"/>
      <c r="E108" s="403"/>
      <c r="F108" s="403"/>
      <c r="G108" s="403"/>
      <c r="H108" s="403"/>
      <c r="I108" s="403"/>
      <c r="J108" s="403"/>
    </row>
    <row r="109" spans="1:10" ht="12.75">
      <c r="A109" s="418">
        <v>8</v>
      </c>
      <c r="B109" s="414" t="s">
        <v>124</v>
      </c>
      <c r="C109" s="417">
        <v>11</v>
      </c>
      <c r="D109" s="403"/>
      <c r="E109" s="403"/>
      <c r="F109" s="403"/>
      <c r="G109" s="403"/>
      <c r="H109" s="403"/>
      <c r="I109" s="403"/>
      <c r="J109" s="403"/>
    </row>
    <row r="110" spans="1:10" ht="12.75">
      <c r="A110" s="418">
        <v>9</v>
      </c>
      <c r="B110" s="414" t="s">
        <v>125</v>
      </c>
      <c r="C110" s="417">
        <v>12</v>
      </c>
      <c r="D110" s="403"/>
      <c r="E110" s="403"/>
      <c r="F110" s="403"/>
      <c r="G110" s="403"/>
      <c r="H110" s="403"/>
      <c r="I110" s="403"/>
      <c r="J110" s="403"/>
    </row>
    <row r="111" spans="1:10" ht="15.75" customHeight="1">
      <c r="A111" s="415"/>
      <c r="B111" s="827" t="s">
        <v>126</v>
      </c>
      <c r="C111" s="828"/>
      <c r="D111" s="403"/>
      <c r="E111" s="403"/>
      <c r="F111" s="403"/>
      <c r="G111" s="403"/>
      <c r="H111" s="403"/>
      <c r="I111" s="403"/>
      <c r="J111" s="403"/>
    </row>
    <row r="112" spans="1:10" ht="12.75">
      <c r="A112" s="418">
        <v>1</v>
      </c>
      <c r="B112" s="413"/>
      <c r="C112" s="417">
        <v>9</v>
      </c>
      <c r="D112" s="403"/>
      <c r="E112" s="403"/>
      <c r="F112" s="403"/>
      <c r="G112" s="403"/>
      <c r="H112" s="403"/>
      <c r="I112" s="403"/>
      <c r="J112" s="403"/>
    </row>
    <row r="113" spans="1:10" ht="12.75">
      <c r="A113" s="418">
        <v>2</v>
      </c>
      <c r="B113" s="413"/>
      <c r="C113" s="417">
        <v>10</v>
      </c>
      <c r="D113" s="403"/>
      <c r="E113" s="403"/>
      <c r="F113" s="403"/>
      <c r="G113" s="403"/>
      <c r="H113" s="403"/>
      <c r="I113" s="403"/>
      <c r="J113" s="403"/>
    </row>
    <row r="114" spans="1:10" ht="12.75">
      <c r="A114" s="418">
        <v>3</v>
      </c>
      <c r="B114" s="414"/>
      <c r="C114" s="417">
        <v>11</v>
      </c>
      <c r="D114" s="403"/>
      <c r="E114" s="403"/>
      <c r="F114" s="403"/>
      <c r="G114" s="403"/>
      <c r="H114" s="403"/>
      <c r="I114" s="403"/>
      <c r="J114" s="403"/>
    </row>
    <row r="115" spans="1:10" ht="12.75">
      <c r="A115" s="418">
        <v>4</v>
      </c>
      <c r="B115" s="414"/>
      <c r="C115" s="417">
        <v>12</v>
      </c>
      <c r="D115" s="403"/>
      <c r="E115" s="403"/>
      <c r="F115" s="403"/>
      <c r="G115" s="403"/>
      <c r="H115" s="403"/>
      <c r="I115" s="403"/>
      <c r="J115" s="403"/>
    </row>
    <row r="116" spans="1:10" ht="12.75">
      <c r="A116" s="418">
        <v>5</v>
      </c>
      <c r="B116" s="414"/>
      <c r="C116" s="417">
        <v>14</v>
      </c>
      <c r="D116" s="403"/>
      <c r="E116" s="403"/>
      <c r="F116" s="403"/>
      <c r="G116" s="403"/>
      <c r="H116" s="403"/>
      <c r="I116" s="403"/>
      <c r="J116" s="403"/>
    </row>
    <row r="117" spans="1:10" ht="12.75">
      <c r="A117" s="418">
        <v>6</v>
      </c>
      <c r="B117" s="414"/>
      <c r="C117" s="417">
        <v>18</v>
      </c>
      <c r="D117" s="403"/>
      <c r="E117" s="403"/>
      <c r="F117" s="403"/>
      <c r="G117" s="403"/>
      <c r="H117" s="403"/>
      <c r="I117" s="403"/>
      <c r="J117" s="403"/>
    </row>
    <row r="118" spans="1:10" ht="12.75">
      <c r="A118" s="418">
        <v>7</v>
      </c>
      <c r="B118" s="414"/>
      <c r="C118" s="417">
        <v>19</v>
      </c>
      <c r="D118" s="403"/>
      <c r="E118" s="403"/>
      <c r="F118" s="403"/>
      <c r="G118" s="403"/>
      <c r="H118" s="403"/>
      <c r="I118" s="403"/>
      <c r="J118" s="403"/>
    </row>
    <row r="119" spans="1:10" ht="12.75">
      <c r="A119" s="418">
        <v>8</v>
      </c>
      <c r="B119" s="414"/>
      <c r="C119" s="417">
        <v>22</v>
      </c>
      <c r="D119" s="403"/>
      <c r="E119" s="403"/>
      <c r="F119" s="403"/>
      <c r="G119" s="403"/>
      <c r="H119" s="403"/>
      <c r="I119" s="403"/>
      <c r="J119" s="403"/>
    </row>
    <row r="120" spans="1:10" ht="12.75">
      <c r="A120" s="418">
        <v>9</v>
      </c>
      <c r="B120" s="414"/>
      <c r="C120" s="417">
        <v>27</v>
      </c>
      <c r="D120" s="403"/>
      <c r="E120" s="403"/>
      <c r="F120" s="403"/>
      <c r="G120" s="403"/>
      <c r="H120" s="403"/>
      <c r="I120" s="403"/>
      <c r="J120" s="403"/>
    </row>
    <row r="121" spans="1:10" ht="12.75">
      <c r="A121" s="418">
        <v>10</v>
      </c>
      <c r="B121" s="414"/>
      <c r="C121" s="417">
        <v>28</v>
      </c>
      <c r="D121" s="403"/>
      <c r="E121" s="403"/>
      <c r="F121" s="403"/>
      <c r="G121" s="403"/>
      <c r="H121" s="403"/>
      <c r="I121" s="403"/>
      <c r="J121" s="403"/>
    </row>
    <row r="122" spans="1:10" ht="12.75">
      <c r="A122" s="418">
        <v>11</v>
      </c>
      <c r="B122" s="414"/>
      <c r="C122" s="417">
        <v>29</v>
      </c>
      <c r="D122" s="403"/>
      <c r="E122" s="403"/>
      <c r="F122" s="403"/>
      <c r="G122" s="403"/>
      <c r="H122" s="403"/>
      <c r="I122" s="403"/>
      <c r="J122" s="403"/>
    </row>
    <row r="123" spans="1:10" ht="12.75">
      <c r="A123" s="418">
        <v>12</v>
      </c>
      <c r="B123" s="414"/>
      <c r="C123" s="417">
        <v>30</v>
      </c>
      <c r="D123" s="403"/>
      <c r="E123" s="403"/>
      <c r="F123" s="403"/>
      <c r="G123" s="403"/>
      <c r="H123" s="403"/>
      <c r="I123" s="403"/>
      <c r="J123" s="403"/>
    </row>
    <row r="124" spans="1:10" ht="12.75">
      <c r="A124" s="418">
        <v>13</v>
      </c>
      <c r="B124" s="414" t="s">
        <v>127</v>
      </c>
      <c r="C124" s="417">
        <v>78</v>
      </c>
      <c r="D124" s="403"/>
      <c r="E124" s="403"/>
      <c r="F124" s="403"/>
      <c r="G124" s="403"/>
      <c r="H124" s="403"/>
      <c r="I124" s="403"/>
      <c r="J124" s="403"/>
    </row>
  </sheetData>
  <sheetProtection/>
  <mergeCells count="13">
    <mergeCell ref="B111:C111"/>
    <mergeCell ref="A4:A7"/>
    <mergeCell ref="B4:B7"/>
    <mergeCell ref="C4:C7"/>
    <mergeCell ref="A2:C2"/>
    <mergeCell ref="D4:J4"/>
    <mergeCell ref="D5:D7"/>
    <mergeCell ref="E5:E7"/>
    <mergeCell ref="F5:F7"/>
    <mergeCell ref="G5:G7"/>
    <mergeCell ref="H5:H7"/>
    <mergeCell ref="I5:I7"/>
    <mergeCell ref="J5:J7"/>
  </mergeCells>
  <printOptions/>
  <pageMargins left="0.75" right="0.75" top="0.3" bottom="0.37" header="0.18" footer="0.21"/>
  <pageSetup fitToHeight="2" horizontalDpi="600" verticalDpi="600" orientation="portrait" r:id="rId1"/>
  <rowBreaks count="1" manualBreakCount="1">
    <brk id="6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L130"/>
  <sheetViews>
    <sheetView tabSelected="1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22" sqref="I22"/>
    </sheetView>
  </sheetViews>
  <sheetFormatPr defaultColWidth="9.140625" defaultRowHeight="12.75"/>
  <cols>
    <col min="1" max="1" width="5.00390625" style="465" customWidth="1"/>
    <col min="2" max="2" width="17.00390625" style="465" customWidth="1"/>
    <col min="3" max="3" width="5.421875" style="465" customWidth="1"/>
    <col min="4" max="5" width="8.140625" style="465" customWidth="1"/>
    <col min="6" max="6" width="5.7109375" style="465" customWidth="1"/>
    <col min="7" max="7" width="8.28125" style="465" customWidth="1"/>
    <col min="8" max="8" width="10.57421875" style="465" customWidth="1"/>
    <col min="9" max="9" width="11.7109375" style="465" customWidth="1"/>
    <col min="10" max="10" width="11.57421875" style="465" customWidth="1"/>
    <col min="11" max="11" width="13.421875" style="627" customWidth="1"/>
    <col min="12" max="12" width="9.28125" style="627" customWidth="1"/>
    <col min="13" max="13" width="12.140625" style="627" customWidth="1"/>
    <col min="14" max="14" width="7.28125" style="465" customWidth="1"/>
    <col min="15" max="15" width="6.28125" style="465" customWidth="1"/>
    <col min="16" max="16" width="5.7109375" style="465" customWidth="1"/>
    <col min="17" max="17" width="11.57421875" style="465" customWidth="1"/>
    <col min="18" max="18" width="10.57421875" style="465" bestFit="1" customWidth="1"/>
    <col min="19" max="19" width="8.00390625" style="465" bestFit="1" customWidth="1"/>
    <col min="20" max="20" width="10.421875" style="465" customWidth="1"/>
    <col min="21" max="21" width="10.28125" style="465" customWidth="1"/>
    <col min="22" max="22" width="11.7109375" style="465" customWidth="1"/>
    <col min="23" max="23" width="9.140625" style="465" customWidth="1"/>
    <col min="24" max="24" width="6.57421875" style="465" customWidth="1"/>
    <col min="25" max="25" width="6.421875" style="465" customWidth="1"/>
    <col min="26" max="26" width="5.00390625" style="465" customWidth="1"/>
    <col min="27" max="27" width="4.140625" style="465" customWidth="1"/>
    <col min="28" max="28" width="4.28125" style="465" customWidth="1"/>
    <col min="29" max="29" width="4.140625" style="465" customWidth="1"/>
    <col min="30" max="30" width="6.8515625" style="465" customWidth="1"/>
    <col min="31" max="31" width="6.421875" style="465" customWidth="1"/>
    <col min="32" max="32" width="5.8515625" style="612" customWidth="1"/>
    <col min="33" max="33" width="12.421875" style="465" bestFit="1" customWidth="1"/>
    <col min="34" max="34" width="11.57421875" style="465" customWidth="1"/>
    <col min="35" max="35" width="6.8515625" style="557" customWidth="1"/>
    <col min="36" max="36" width="6.8515625" style="557" bestFit="1" customWidth="1"/>
    <col min="37" max="37" width="5.28125" style="557" bestFit="1" customWidth="1"/>
    <col min="38" max="38" width="8.140625" style="465" bestFit="1" customWidth="1"/>
    <col min="39" max="16384" width="9.140625" style="465" customWidth="1"/>
  </cols>
  <sheetData>
    <row r="1" spans="1:37" s="479" customFormat="1" ht="27" customHeight="1" thickBot="1">
      <c r="A1" s="472"/>
      <c r="B1" s="473" t="s">
        <v>102</v>
      </c>
      <c r="C1" s="472"/>
      <c r="D1" s="472"/>
      <c r="E1" s="474"/>
      <c r="F1" s="474"/>
      <c r="G1" s="474"/>
      <c r="H1" s="475"/>
      <c r="I1" s="476"/>
      <c r="J1" s="477"/>
      <c r="K1" s="475"/>
      <c r="L1" s="475"/>
      <c r="M1" s="475"/>
      <c r="N1" s="478"/>
      <c r="O1" s="478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2"/>
      <c r="AE1" s="472"/>
      <c r="AF1" s="474"/>
      <c r="AI1" s="472"/>
      <c r="AJ1" s="472"/>
      <c r="AK1" s="472"/>
    </row>
    <row r="2" spans="1:38" ht="15.75" customHeight="1" thickBot="1">
      <c r="A2" s="923" t="s">
        <v>0</v>
      </c>
      <c r="B2" s="926" t="s">
        <v>1</v>
      </c>
      <c r="C2" s="929" t="s">
        <v>110</v>
      </c>
      <c r="D2" s="932" t="s">
        <v>3</v>
      </c>
      <c r="E2" s="932" t="s">
        <v>4</v>
      </c>
      <c r="F2" s="935" t="s">
        <v>5</v>
      </c>
      <c r="G2" s="938" t="s">
        <v>6</v>
      </c>
      <c r="H2" s="939"/>
      <c r="I2" s="940" t="s">
        <v>88</v>
      </c>
      <c r="J2" s="941"/>
      <c r="K2" s="852" t="s">
        <v>7</v>
      </c>
      <c r="L2" s="821"/>
      <c r="M2" s="821"/>
      <c r="N2" s="853"/>
      <c r="O2" s="480"/>
      <c r="P2" s="821" t="s">
        <v>8</v>
      </c>
      <c r="Q2" s="822"/>
      <c r="R2" s="887" t="s">
        <v>91</v>
      </c>
      <c r="S2" s="888"/>
      <c r="T2" s="889"/>
      <c r="U2" s="871" t="s">
        <v>70</v>
      </c>
      <c r="V2" s="872"/>
      <c r="W2" s="873"/>
      <c r="X2" s="908" t="s">
        <v>9</v>
      </c>
      <c r="Y2" s="909"/>
      <c r="Z2" s="866" t="s">
        <v>10</v>
      </c>
      <c r="AA2" s="867"/>
      <c r="AB2" s="867"/>
      <c r="AC2" s="868"/>
      <c r="AD2" s="910" t="s">
        <v>11</v>
      </c>
      <c r="AE2" s="862" t="s">
        <v>12</v>
      </c>
      <c r="AF2" s="862" t="s">
        <v>13</v>
      </c>
      <c r="AG2" s="883" t="s">
        <v>73</v>
      </c>
      <c r="AH2" s="884"/>
      <c r="AI2" s="877" t="s">
        <v>93</v>
      </c>
      <c r="AJ2" s="878"/>
      <c r="AK2" s="878"/>
      <c r="AL2" s="879"/>
    </row>
    <row r="3" spans="1:38" ht="30" customHeight="1" thickBot="1" thickTop="1">
      <c r="A3" s="924"/>
      <c r="B3" s="927"/>
      <c r="C3" s="930"/>
      <c r="D3" s="933"/>
      <c r="E3" s="933"/>
      <c r="F3" s="936"/>
      <c r="G3" s="942" t="s">
        <v>14</v>
      </c>
      <c r="H3" s="944" t="s">
        <v>15</v>
      </c>
      <c r="I3" s="946" t="s">
        <v>16</v>
      </c>
      <c r="J3" s="948" t="s">
        <v>17</v>
      </c>
      <c r="K3" s="856" t="s">
        <v>111</v>
      </c>
      <c r="L3" s="857"/>
      <c r="M3" s="858"/>
      <c r="N3" s="848" t="s">
        <v>101</v>
      </c>
      <c r="O3" s="849"/>
      <c r="P3" s="823" t="s">
        <v>20</v>
      </c>
      <c r="Q3" s="854" t="s">
        <v>21</v>
      </c>
      <c r="R3" s="890" t="s">
        <v>70</v>
      </c>
      <c r="S3" s="891"/>
      <c r="T3" s="892"/>
      <c r="U3" s="919" t="s">
        <v>68</v>
      </c>
      <c r="V3" s="874" t="s">
        <v>69</v>
      </c>
      <c r="W3" s="875"/>
      <c r="X3" s="898" t="s">
        <v>22</v>
      </c>
      <c r="Y3" s="896" t="s">
        <v>23</v>
      </c>
      <c r="Z3" s="893" t="s">
        <v>24</v>
      </c>
      <c r="AA3" s="914" t="s">
        <v>25</v>
      </c>
      <c r="AB3" s="917" t="s">
        <v>26</v>
      </c>
      <c r="AC3" s="869" t="s">
        <v>92</v>
      </c>
      <c r="AD3" s="911"/>
      <c r="AE3" s="863"/>
      <c r="AF3" s="863"/>
      <c r="AG3" s="885"/>
      <c r="AH3" s="886"/>
      <c r="AI3" s="880"/>
      <c r="AJ3" s="881"/>
      <c r="AK3" s="881"/>
      <c r="AL3" s="882"/>
    </row>
    <row r="4" spans="1:38" ht="39" customHeight="1" thickTop="1">
      <c r="A4" s="924"/>
      <c r="B4" s="927"/>
      <c r="C4" s="930"/>
      <c r="D4" s="933"/>
      <c r="E4" s="933"/>
      <c r="F4" s="936"/>
      <c r="G4" s="942"/>
      <c r="H4" s="944"/>
      <c r="I4" s="946"/>
      <c r="J4" s="949"/>
      <c r="K4" s="846" t="s">
        <v>98</v>
      </c>
      <c r="L4" s="951" t="s">
        <v>106</v>
      </c>
      <c r="M4" s="481" t="s">
        <v>99</v>
      </c>
      <c r="N4" s="850" t="s">
        <v>98</v>
      </c>
      <c r="O4" s="482" t="s">
        <v>99</v>
      </c>
      <c r="P4" s="823"/>
      <c r="Q4" s="854"/>
      <c r="R4" s="904" t="s">
        <v>98</v>
      </c>
      <c r="S4" s="906" t="s">
        <v>99</v>
      </c>
      <c r="T4" s="907"/>
      <c r="U4" s="920"/>
      <c r="V4" s="922" t="s">
        <v>98</v>
      </c>
      <c r="W4" s="483" t="s">
        <v>99</v>
      </c>
      <c r="X4" s="898"/>
      <c r="Y4" s="896"/>
      <c r="Z4" s="894"/>
      <c r="AA4" s="915"/>
      <c r="AB4" s="918"/>
      <c r="AC4" s="869"/>
      <c r="AD4" s="912"/>
      <c r="AE4" s="864"/>
      <c r="AF4" s="864"/>
      <c r="AG4" s="902" t="s">
        <v>71</v>
      </c>
      <c r="AH4" s="900" t="s">
        <v>72</v>
      </c>
      <c r="AI4" s="836" t="s">
        <v>94</v>
      </c>
      <c r="AJ4" s="834" t="s">
        <v>95</v>
      </c>
      <c r="AK4" s="832" t="s">
        <v>96</v>
      </c>
      <c r="AL4" s="900" t="s">
        <v>97</v>
      </c>
    </row>
    <row r="5" spans="1:38" ht="78" customHeight="1" thickBot="1">
      <c r="A5" s="925"/>
      <c r="B5" s="928"/>
      <c r="C5" s="931"/>
      <c r="D5" s="934"/>
      <c r="E5" s="934"/>
      <c r="F5" s="937"/>
      <c r="G5" s="943"/>
      <c r="H5" s="945"/>
      <c r="I5" s="947"/>
      <c r="J5" s="950"/>
      <c r="K5" s="847"/>
      <c r="L5" s="952"/>
      <c r="M5" s="484" t="s">
        <v>105</v>
      </c>
      <c r="N5" s="851"/>
      <c r="O5" s="486" t="s">
        <v>100</v>
      </c>
      <c r="P5" s="824"/>
      <c r="Q5" s="855"/>
      <c r="R5" s="905"/>
      <c r="S5" s="485" t="s">
        <v>103</v>
      </c>
      <c r="T5" s="486" t="s">
        <v>104</v>
      </c>
      <c r="U5" s="921"/>
      <c r="V5" s="851"/>
      <c r="W5" s="486" t="s">
        <v>104</v>
      </c>
      <c r="X5" s="899"/>
      <c r="Y5" s="897"/>
      <c r="Z5" s="895"/>
      <c r="AA5" s="916"/>
      <c r="AB5" s="851"/>
      <c r="AC5" s="870"/>
      <c r="AD5" s="913"/>
      <c r="AE5" s="865"/>
      <c r="AF5" s="865"/>
      <c r="AG5" s="903"/>
      <c r="AH5" s="901"/>
      <c r="AI5" s="837"/>
      <c r="AJ5" s="835"/>
      <c r="AK5" s="833"/>
      <c r="AL5" s="901"/>
    </row>
    <row r="6" spans="1:38" ht="15.75" thickBot="1">
      <c r="A6" s="487">
        <v>1</v>
      </c>
      <c r="B6" s="487">
        <v>2</v>
      </c>
      <c r="C6" s="487">
        <v>3</v>
      </c>
      <c r="D6" s="487">
        <v>4</v>
      </c>
      <c r="E6" s="487">
        <v>5</v>
      </c>
      <c r="F6" s="487">
        <v>6</v>
      </c>
      <c r="G6" s="487">
        <v>7</v>
      </c>
      <c r="H6" s="487">
        <v>8</v>
      </c>
      <c r="I6" s="487">
        <v>9</v>
      </c>
      <c r="J6" s="487">
        <v>10</v>
      </c>
      <c r="K6" s="487">
        <v>11</v>
      </c>
      <c r="L6" s="487">
        <v>12</v>
      </c>
      <c r="M6" s="487">
        <v>13</v>
      </c>
      <c r="N6" s="487">
        <v>14</v>
      </c>
      <c r="O6" s="487">
        <v>15</v>
      </c>
      <c r="P6" s="487">
        <v>16</v>
      </c>
      <c r="Q6" s="487">
        <v>17</v>
      </c>
      <c r="R6" s="487">
        <v>18</v>
      </c>
      <c r="S6" s="487">
        <v>19</v>
      </c>
      <c r="T6" s="487">
        <v>20</v>
      </c>
      <c r="U6" s="487">
        <v>21</v>
      </c>
      <c r="V6" s="487">
        <v>22</v>
      </c>
      <c r="W6" s="487">
        <v>23</v>
      </c>
      <c r="X6" s="487">
        <v>24</v>
      </c>
      <c r="Y6" s="487">
        <v>25</v>
      </c>
      <c r="Z6" s="487">
        <v>26</v>
      </c>
      <c r="AA6" s="487">
        <v>27</v>
      </c>
      <c r="AB6" s="487">
        <v>28</v>
      </c>
      <c r="AC6" s="487">
        <v>29</v>
      </c>
      <c r="AD6" s="487">
        <v>30</v>
      </c>
      <c r="AE6" s="487">
        <v>31</v>
      </c>
      <c r="AF6" s="487">
        <v>32</v>
      </c>
      <c r="AG6" s="487">
        <v>33</v>
      </c>
      <c r="AH6" s="487">
        <v>34</v>
      </c>
      <c r="AI6" s="487">
        <v>35</v>
      </c>
      <c r="AJ6" s="487">
        <v>36</v>
      </c>
      <c r="AK6" s="487">
        <v>37</v>
      </c>
      <c r="AL6" s="488">
        <v>38</v>
      </c>
    </row>
    <row r="7" spans="1:38" ht="15.75" thickTop="1">
      <c r="A7" s="489"/>
      <c r="B7" s="490"/>
      <c r="C7" s="491"/>
      <c r="D7" s="492"/>
      <c r="E7" s="493"/>
      <c r="F7" s="494"/>
      <c r="G7" s="494"/>
      <c r="H7" s="495"/>
      <c r="I7" s="496"/>
      <c r="J7" s="497"/>
      <c r="K7" s="495"/>
      <c r="L7" s="495"/>
      <c r="M7" s="495"/>
      <c r="N7" s="496"/>
      <c r="O7" s="496"/>
      <c r="P7" s="496"/>
      <c r="Q7" s="497"/>
      <c r="R7" s="497"/>
      <c r="S7" s="497"/>
      <c r="T7" s="497"/>
      <c r="U7" s="497"/>
      <c r="V7" s="497"/>
      <c r="W7" s="497"/>
      <c r="X7" s="497"/>
      <c r="Y7" s="497"/>
      <c r="Z7" s="493"/>
      <c r="AA7" s="497"/>
      <c r="AB7" s="497"/>
      <c r="AC7" s="497"/>
      <c r="AD7" s="493"/>
      <c r="AE7" s="493"/>
      <c r="AF7" s="493"/>
      <c r="AG7" s="498"/>
      <c r="AH7" s="499"/>
      <c r="AI7" s="500"/>
      <c r="AJ7" s="501"/>
      <c r="AK7" s="501"/>
      <c r="AL7" s="502"/>
    </row>
    <row r="8" spans="1:38" ht="12.75">
      <c r="A8" s="503"/>
      <c r="B8" s="504" t="s">
        <v>67</v>
      </c>
      <c r="C8" s="505"/>
      <c r="D8" s="506"/>
      <c r="E8" s="507"/>
      <c r="F8" s="508"/>
      <c r="G8" s="508"/>
      <c r="H8" s="509">
        <f>SUM(H10:H93)-H75-H36</f>
        <v>60032.000903443106</v>
      </c>
      <c r="I8" s="509">
        <f>SUM(I10:I93)</f>
        <v>644216.5949007174</v>
      </c>
      <c r="J8" s="509">
        <f>SUM(J10:J93)-J75-J36</f>
        <v>168341.21</v>
      </c>
      <c r="K8" s="510">
        <f>SUM(K10:K93)-K75-K36</f>
        <v>149910.7800000001</v>
      </c>
      <c r="L8" s="510"/>
      <c r="M8" s="510">
        <f aca="true" t="shared" si="0" ref="M8:W8">SUM(M10:M93)-M75-M36</f>
        <v>19280.34</v>
      </c>
      <c r="N8" s="511">
        <f t="shared" si="0"/>
        <v>3341</v>
      </c>
      <c r="O8" s="511">
        <f t="shared" si="0"/>
        <v>468</v>
      </c>
      <c r="P8" s="511">
        <f t="shared" si="0"/>
        <v>227</v>
      </c>
      <c r="Q8" s="509">
        <f t="shared" si="0"/>
        <v>16541.5</v>
      </c>
      <c r="R8" s="510">
        <f t="shared" si="0"/>
        <v>2083.4300000000003</v>
      </c>
      <c r="S8" s="509">
        <f t="shared" si="0"/>
        <v>850</v>
      </c>
      <c r="T8" s="510">
        <f t="shared" si="0"/>
        <v>1233.43</v>
      </c>
      <c r="U8" s="512">
        <f t="shared" si="0"/>
        <v>8888.999999999998</v>
      </c>
      <c r="V8" s="512">
        <f t="shared" si="0"/>
        <v>30739.826999999997</v>
      </c>
      <c r="W8" s="512">
        <f t="shared" si="0"/>
        <v>193</v>
      </c>
      <c r="X8" s="509"/>
      <c r="Y8" s="509"/>
      <c r="Z8" s="507"/>
      <c r="AA8" s="509"/>
      <c r="AB8" s="509"/>
      <c r="AC8" s="509"/>
      <c r="AD8" s="507"/>
      <c r="AE8" s="507"/>
      <c r="AF8" s="507"/>
      <c r="AG8" s="512">
        <f>SUM(AG10:AG93)-AG75-AG36</f>
        <v>40610</v>
      </c>
      <c r="AH8" s="512">
        <f>SUM(AH10:AH93)-AH75-AH36</f>
        <v>30478</v>
      </c>
      <c r="AI8" s="513">
        <v>9.24</v>
      </c>
      <c r="AJ8" s="504">
        <v>1.02</v>
      </c>
      <c r="AK8" s="504">
        <v>7.1</v>
      </c>
      <c r="AL8" s="514">
        <v>10.59</v>
      </c>
    </row>
    <row r="9" spans="1:38" ht="15">
      <c r="A9" s="515"/>
      <c r="B9" s="463"/>
      <c r="C9" s="453"/>
      <c r="D9" s="516"/>
      <c r="E9" s="454"/>
      <c r="F9" s="517"/>
      <c r="G9" s="517"/>
      <c r="H9" s="518"/>
      <c r="I9" s="458"/>
      <c r="J9" s="459"/>
      <c r="K9" s="456"/>
      <c r="L9" s="456"/>
      <c r="M9" s="519"/>
      <c r="N9" s="458"/>
      <c r="O9" s="458"/>
      <c r="P9" s="458"/>
      <c r="Q9" s="459"/>
      <c r="R9" s="455"/>
      <c r="S9" s="455"/>
      <c r="T9" s="455"/>
      <c r="U9" s="455"/>
      <c r="V9" s="455"/>
      <c r="W9" s="455"/>
      <c r="X9" s="459"/>
      <c r="Y9" s="459"/>
      <c r="Z9" s="454"/>
      <c r="AA9" s="459"/>
      <c r="AB9" s="459"/>
      <c r="AC9" s="459"/>
      <c r="AD9" s="454"/>
      <c r="AE9" s="454"/>
      <c r="AF9" s="454"/>
      <c r="AG9" s="520"/>
      <c r="AH9" s="520"/>
      <c r="AI9" s="463"/>
      <c r="AJ9" s="463"/>
      <c r="AK9" s="463"/>
      <c r="AL9" s="521"/>
    </row>
    <row r="10" spans="1:38" ht="15">
      <c r="A10" s="451">
        <v>1</v>
      </c>
      <c r="B10" s="463" t="s">
        <v>27</v>
      </c>
      <c r="C10" s="453">
        <v>2</v>
      </c>
      <c r="D10" s="454">
        <v>1968</v>
      </c>
      <c r="E10" s="454" t="s">
        <v>28</v>
      </c>
      <c r="F10" s="517">
        <v>5</v>
      </c>
      <c r="G10" s="454" t="s">
        <v>29</v>
      </c>
      <c r="H10" s="455">
        <f aca="true" t="shared" si="1" ref="H10:H15">J10*1110/2836.5</f>
        <v>1345.6181914331041</v>
      </c>
      <c r="I10" s="455">
        <v>13698</v>
      </c>
      <c r="J10" s="455">
        <f aca="true" t="shared" si="2" ref="J10:J26">K10+Q10+R10</f>
        <v>3438.6</v>
      </c>
      <c r="K10" s="456">
        <v>3116.7</v>
      </c>
      <c r="L10" s="456"/>
      <c r="M10" s="457">
        <v>103.4</v>
      </c>
      <c r="N10" s="458">
        <v>78</v>
      </c>
      <c r="O10" s="458">
        <v>3</v>
      </c>
      <c r="P10" s="517">
        <v>4</v>
      </c>
      <c r="Q10" s="455">
        <v>245.6</v>
      </c>
      <c r="R10" s="455">
        <f aca="true" t="shared" si="3" ref="R10:R26">SUM(S10:T10)</f>
        <v>76.3</v>
      </c>
      <c r="S10" s="455">
        <v>76.3</v>
      </c>
      <c r="T10" s="455"/>
      <c r="U10" s="455"/>
      <c r="V10" s="455"/>
      <c r="W10" s="455"/>
      <c r="X10" s="459" t="s">
        <v>30</v>
      </c>
      <c r="Y10" s="459" t="s">
        <v>31</v>
      </c>
      <c r="Z10" s="460" t="s">
        <v>32</v>
      </c>
      <c r="AA10" s="460" t="s">
        <v>32</v>
      </c>
      <c r="AB10" s="460" t="s">
        <v>32</v>
      </c>
      <c r="AC10" s="460" t="s">
        <v>32</v>
      </c>
      <c r="AD10" s="454" t="s">
        <v>33</v>
      </c>
      <c r="AE10" s="454" t="s">
        <v>34</v>
      </c>
      <c r="AF10" s="454" t="s">
        <v>35</v>
      </c>
      <c r="AG10" s="461">
        <v>662</v>
      </c>
      <c r="AH10" s="461">
        <v>336</v>
      </c>
      <c r="AI10" s="462">
        <v>9.07</v>
      </c>
      <c r="AJ10" s="463">
        <f aca="true" t="shared" si="4" ref="AJ10:AJ26">AJ$8</f>
        <v>1.02</v>
      </c>
      <c r="AK10" s="463"/>
      <c r="AL10" s="464">
        <f aca="true" t="shared" si="5" ref="AL10:AL26">SUM(AI10:AK10)</f>
        <v>10.09</v>
      </c>
    </row>
    <row r="11" spans="1:38" ht="15">
      <c r="A11" s="451">
        <v>2</v>
      </c>
      <c r="B11" s="452"/>
      <c r="C11" s="453">
        <v>3</v>
      </c>
      <c r="D11" s="454">
        <v>1966</v>
      </c>
      <c r="E11" s="454" t="s">
        <v>28</v>
      </c>
      <c r="F11" s="454">
        <v>5</v>
      </c>
      <c r="G11" s="454" t="s">
        <v>29</v>
      </c>
      <c r="H11" s="455">
        <f t="shared" si="1"/>
        <v>1337.5568482284505</v>
      </c>
      <c r="I11" s="455">
        <v>13561</v>
      </c>
      <c r="J11" s="455">
        <f t="shared" si="2"/>
        <v>3418</v>
      </c>
      <c r="K11" s="456">
        <f>3174-R11</f>
        <v>3097.7</v>
      </c>
      <c r="L11" s="456"/>
      <c r="M11" s="457">
        <v>300.7</v>
      </c>
      <c r="N11" s="458">
        <v>78</v>
      </c>
      <c r="O11" s="453">
        <v>7</v>
      </c>
      <c r="P11" s="454">
        <v>4</v>
      </c>
      <c r="Q11" s="455">
        <v>244</v>
      </c>
      <c r="R11" s="455">
        <f t="shared" si="3"/>
        <v>76.3</v>
      </c>
      <c r="S11" s="455"/>
      <c r="T11" s="455">
        <v>76.3</v>
      </c>
      <c r="U11" s="455"/>
      <c r="V11" s="455">
        <v>597.4</v>
      </c>
      <c r="W11" s="455"/>
      <c r="X11" s="459" t="s">
        <v>30</v>
      </c>
      <c r="Y11" s="459" t="s">
        <v>31</v>
      </c>
      <c r="Z11" s="460" t="s">
        <v>32</v>
      </c>
      <c r="AA11" s="460" t="s">
        <v>32</v>
      </c>
      <c r="AB11" s="460" t="s">
        <v>32</v>
      </c>
      <c r="AC11" s="460" t="s">
        <v>32</v>
      </c>
      <c r="AD11" s="454" t="s">
        <v>33</v>
      </c>
      <c r="AE11" s="454" t="s">
        <v>34</v>
      </c>
      <c r="AF11" s="454" t="s">
        <v>35</v>
      </c>
      <c r="AG11" s="461">
        <v>684</v>
      </c>
      <c r="AH11" s="461">
        <v>442</v>
      </c>
      <c r="AI11" s="462">
        <v>9.17</v>
      </c>
      <c r="AJ11" s="463">
        <f t="shared" si="4"/>
        <v>1.02</v>
      </c>
      <c r="AK11" s="463"/>
      <c r="AL11" s="464">
        <f t="shared" si="5"/>
        <v>10.19</v>
      </c>
    </row>
    <row r="12" spans="1:38" ht="15">
      <c r="A12" s="451">
        <v>3</v>
      </c>
      <c r="B12" s="452"/>
      <c r="C12" s="453">
        <v>6</v>
      </c>
      <c r="D12" s="454">
        <v>1966</v>
      </c>
      <c r="E12" s="454" t="s">
        <v>28</v>
      </c>
      <c r="F12" s="454">
        <v>5</v>
      </c>
      <c r="G12" s="454" t="s">
        <v>29</v>
      </c>
      <c r="H12" s="455">
        <f t="shared" si="1"/>
        <v>1372.071919619249</v>
      </c>
      <c r="I12" s="455">
        <v>13444</v>
      </c>
      <c r="J12" s="455">
        <f t="shared" si="2"/>
        <v>3506.2</v>
      </c>
      <c r="K12" s="456">
        <v>2541.5</v>
      </c>
      <c r="L12" s="456"/>
      <c r="M12" s="457">
        <v>161.7</v>
      </c>
      <c r="N12" s="458">
        <v>64</v>
      </c>
      <c r="O12" s="453">
        <v>4</v>
      </c>
      <c r="P12" s="454">
        <v>4</v>
      </c>
      <c r="Q12" s="455">
        <v>256.5</v>
      </c>
      <c r="R12" s="455">
        <f t="shared" si="3"/>
        <v>708.2</v>
      </c>
      <c r="S12" s="455">
        <f>138.6+417.6+72</f>
        <v>628.2</v>
      </c>
      <c r="T12" s="455">
        <f>80</f>
        <v>80</v>
      </c>
      <c r="U12" s="455"/>
      <c r="V12" s="455"/>
      <c r="W12" s="455"/>
      <c r="X12" s="459" t="s">
        <v>30</v>
      </c>
      <c r="Y12" s="459" t="s">
        <v>31</v>
      </c>
      <c r="Z12" s="460" t="s">
        <v>32</v>
      </c>
      <c r="AA12" s="460" t="s">
        <v>32</v>
      </c>
      <c r="AB12" s="460" t="s">
        <v>32</v>
      </c>
      <c r="AC12" s="460" t="s">
        <v>32</v>
      </c>
      <c r="AD12" s="454" t="s">
        <v>33</v>
      </c>
      <c r="AE12" s="454" t="s">
        <v>34</v>
      </c>
      <c r="AF12" s="454" t="s">
        <v>35</v>
      </c>
      <c r="AG12" s="461">
        <v>1045</v>
      </c>
      <c r="AH12" s="461">
        <v>305</v>
      </c>
      <c r="AI12" s="462">
        <f>AI10</f>
        <v>9.07</v>
      </c>
      <c r="AJ12" s="463">
        <f t="shared" si="4"/>
        <v>1.02</v>
      </c>
      <c r="AK12" s="463"/>
      <c r="AL12" s="464">
        <f t="shared" si="5"/>
        <v>10.09</v>
      </c>
    </row>
    <row r="13" spans="1:38" ht="15">
      <c r="A13" s="451">
        <v>4</v>
      </c>
      <c r="B13" s="452"/>
      <c r="C13" s="453">
        <v>7</v>
      </c>
      <c r="D13" s="454">
        <v>1967</v>
      </c>
      <c r="E13" s="454" t="s">
        <v>28</v>
      </c>
      <c r="F13" s="454">
        <v>5</v>
      </c>
      <c r="G13" s="454" t="s">
        <v>29</v>
      </c>
      <c r="H13" s="455">
        <f t="shared" si="1"/>
        <v>1337.5568482284505</v>
      </c>
      <c r="I13" s="455">
        <v>13347</v>
      </c>
      <c r="J13" s="455">
        <f t="shared" si="2"/>
        <v>3418</v>
      </c>
      <c r="K13" s="456">
        <f>3367.8-R13-W13</f>
        <v>3103.3</v>
      </c>
      <c r="L13" s="456"/>
      <c r="M13" s="457">
        <v>384</v>
      </c>
      <c r="N13" s="458">
        <v>78</v>
      </c>
      <c r="O13" s="453">
        <v>9</v>
      </c>
      <c r="P13" s="454">
        <v>4</v>
      </c>
      <c r="Q13" s="455">
        <v>243.2</v>
      </c>
      <c r="R13" s="455">
        <f t="shared" si="3"/>
        <v>71.5</v>
      </c>
      <c r="S13" s="522"/>
      <c r="T13" s="455">
        <f>71.5+99.5+44.8+48.7-W13</f>
        <v>71.5</v>
      </c>
      <c r="U13" s="455"/>
      <c r="V13" s="455">
        <v>588.3</v>
      </c>
      <c r="W13" s="455">
        <f>99.5+44.8+48.7</f>
        <v>193</v>
      </c>
      <c r="X13" s="459" t="s">
        <v>30</v>
      </c>
      <c r="Y13" s="459" t="s">
        <v>31</v>
      </c>
      <c r="Z13" s="460" t="s">
        <v>32</v>
      </c>
      <c r="AA13" s="460" t="s">
        <v>32</v>
      </c>
      <c r="AB13" s="460" t="s">
        <v>32</v>
      </c>
      <c r="AC13" s="460" t="s">
        <v>32</v>
      </c>
      <c r="AD13" s="454" t="s">
        <v>33</v>
      </c>
      <c r="AE13" s="454" t="s">
        <v>34</v>
      </c>
      <c r="AF13" s="454" t="s">
        <v>35</v>
      </c>
      <c r="AG13" s="461">
        <v>835</v>
      </c>
      <c r="AH13" s="461">
        <v>314</v>
      </c>
      <c r="AI13" s="462">
        <f>AI11</f>
        <v>9.17</v>
      </c>
      <c r="AJ13" s="463">
        <f t="shared" si="4"/>
        <v>1.02</v>
      </c>
      <c r="AK13" s="463"/>
      <c r="AL13" s="464">
        <f t="shared" si="5"/>
        <v>10.19</v>
      </c>
    </row>
    <row r="14" spans="1:38" s="361" customFormat="1" ht="15">
      <c r="A14" s="333">
        <v>5</v>
      </c>
      <c r="B14" s="308"/>
      <c r="C14" s="309">
        <v>8</v>
      </c>
      <c r="D14" s="310">
        <v>1999</v>
      </c>
      <c r="E14" s="310" t="s">
        <v>28</v>
      </c>
      <c r="F14" s="310">
        <v>6</v>
      </c>
      <c r="G14" s="310" t="s">
        <v>36</v>
      </c>
      <c r="H14" s="311">
        <f t="shared" si="1"/>
        <v>730.7646747752511</v>
      </c>
      <c r="I14" s="311">
        <v>8076</v>
      </c>
      <c r="J14" s="311">
        <f t="shared" si="2"/>
        <v>1867.3999999999999</v>
      </c>
      <c r="K14" s="359">
        <f>1646.8-R14</f>
        <v>1646.8</v>
      </c>
      <c r="L14" s="359"/>
      <c r="M14" s="312">
        <v>0</v>
      </c>
      <c r="N14" s="313">
        <v>36</v>
      </c>
      <c r="O14" s="309">
        <v>0</v>
      </c>
      <c r="P14" s="310">
        <v>2</v>
      </c>
      <c r="Q14" s="311">
        <v>220.6</v>
      </c>
      <c r="R14" s="311">
        <f t="shared" si="3"/>
        <v>0</v>
      </c>
      <c r="S14" s="311"/>
      <c r="T14" s="311"/>
      <c r="U14" s="311"/>
      <c r="V14" s="311">
        <v>317.3</v>
      </c>
      <c r="W14" s="311"/>
      <c r="X14" s="314" t="s">
        <v>30</v>
      </c>
      <c r="Y14" s="314" t="s">
        <v>37</v>
      </c>
      <c r="Z14" s="315" t="s">
        <v>32</v>
      </c>
      <c r="AA14" s="315" t="s">
        <v>32</v>
      </c>
      <c r="AB14" s="315" t="s">
        <v>32</v>
      </c>
      <c r="AC14" s="315" t="s">
        <v>32</v>
      </c>
      <c r="AD14" s="310" t="s">
        <v>33</v>
      </c>
      <c r="AE14" s="310" t="s">
        <v>34</v>
      </c>
      <c r="AF14" s="310" t="s">
        <v>35</v>
      </c>
      <c r="AG14" s="360">
        <v>239</v>
      </c>
      <c r="AH14" s="360">
        <v>164</v>
      </c>
      <c r="AI14" s="316">
        <v>10.02</v>
      </c>
      <c r="AJ14" s="317">
        <f t="shared" si="4"/>
        <v>1.02</v>
      </c>
      <c r="AK14" s="317"/>
      <c r="AL14" s="334">
        <f t="shared" si="5"/>
        <v>11.04</v>
      </c>
    </row>
    <row r="15" spans="1:38" ht="15">
      <c r="A15" s="451">
        <v>6</v>
      </c>
      <c r="B15" s="452"/>
      <c r="C15" s="453">
        <v>9</v>
      </c>
      <c r="D15" s="454">
        <v>1967</v>
      </c>
      <c r="E15" s="454" t="s">
        <v>28</v>
      </c>
      <c r="F15" s="454">
        <v>5</v>
      </c>
      <c r="G15" s="454" t="s">
        <v>38</v>
      </c>
      <c r="H15" s="455">
        <f t="shared" si="1"/>
        <v>1336.500264410365</v>
      </c>
      <c r="I15" s="455">
        <v>12874</v>
      </c>
      <c r="J15" s="455">
        <f t="shared" si="2"/>
        <v>3415.3</v>
      </c>
      <c r="K15" s="456">
        <f>3175.3-R15</f>
        <v>3102.5</v>
      </c>
      <c r="L15" s="456"/>
      <c r="M15" s="457">
        <v>288.6</v>
      </c>
      <c r="N15" s="458">
        <v>78</v>
      </c>
      <c r="O15" s="453">
        <v>8</v>
      </c>
      <c r="P15" s="454">
        <v>4</v>
      </c>
      <c r="Q15" s="455">
        <v>240</v>
      </c>
      <c r="R15" s="455">
        <f t="shared" si="3"/>
        <v>72.8</v>
      </c>
      <c r="S15" s="455">
        <v>72.8</v>
      </c>
      <c r="T15" s="455"/>
      <c r="U15" s="455"/>
      <c r="V15" s="455"/>
      <c r="W15" s="455"/>
      <c r="X15" s="459" t="s">
        <v>30</v>
      </c>
      <c r="Y15" s="459" t="s">
        <v>31</v>
      </c>
      <c r="Z15" s="460" t="s">
        <v>32</v>
      </c>
      <c r="AA15" s="460" t="s">
        <v>32</v>
      </c>
      <c r="AB15" s="460" t="s">
        <v>32</v>
      </c>
      <c r="AC15" s="460" t="s">
        <v>32</v>
      </c>
      <c r="AD15" s="454" t="s">
        <v>33</v>
      </c>
      <c r="AE15" s="454" t="s">
        <v>34</v>
      </c>
      <c r="AF15" s="454" t="s">
        <v>35</v>
      </c>
      <c r="AG15" s="461">
        <v>1353</v>
      </c>
      <c r="AH15" s="461">
        <v>837</v>
      </c>
      <c r="AI15" s="462">
        <f>AI12</f>
        <v>9.07</v>
      </c>
      <c r="AJ15" s="463">
        <f t="shared" si="4"/>
        <v>1.02</v>
      </c>
      <c r="AK15" s="463"/>
      <c r="AL15" s="464">
        <f t="shared" si="5"/>
        <v>10.09</v>
      </c>
    </row>
    <row r="16" spans="1:38" ht="15">
      <c r="A16" s="451">
        <v>7</v>
      </c>
      <c r="B16" s="452"/>
      <c r="C16" s="453">
        <v>10</v>
      </c>
      <c r="D16" s="454">
        <v>1995</v>
      </c>
      <c r="E16" s="454" t="s">
        <v>28</v>
      </c>
      <c r="F16" s="454">
        <v>5</v>
      </c>
      <c r="G16" s="454" t="s">
        <v>38</v>
      </c>
      <c r="H16" s="455">
        <f>V16</f>
        <v>313.2</v>
      </c>
      <c r="I16" s="455">
        <v>5849</v>
      </c>
      <c r="J16" s="455">
        <f t="shared" si="2"/>
        <v>1533.1000000000001</v>
      </c>
      <c r="K16" s="456">
        <f>1364.9-R16</f>
        <v>1364.9</v>
      </c>
      <c r="L16" s="456"/>
      <c r="M16" s="457">
        <v>171.9</v>
      </c>
      <c r="N16" s="458">
        <v>30</v>
      </c>
      <c r="O16" s="453">
        <v>4</v>
      </c>
      <c r="P16" s="454">
        <v>2</v>
      </c>
      <c r="Q16" s="455">
        <v>168.2</v>
      </c>
      <c r="R16" s="455">
        <f t="shared" si="3"/>
        <v>0</v>
      </c>
      <c r="S16" s="455"/>
      <c r="T16" s="455"/>
      <c r="U16" s="455">
        <v>320.3</v>
      </c>
      <c r="V16" s="455">
        <v>313.2</v>
      </c>
      <c r="W16" s="455"/>
      <c r="X16" s="459" t="s">
        <v>30</v>
      </c>
      <c r="Y16" s="459" t="s">
        <v>37</v>
      </c>
      <c r="Z16" s="460" t="s">
        <v>32</v>
      </c>
      <c r="AA16" s="460" t="s">
        <v>32</v>
      </c>
      <c r="AB16" s="460" t="s">
        <v>32</v>
      </c>
      <c r="AC16" s="460" t="s">
        <v>32</v>
      </c>
      <c r="AD16" s="454" t="s">
        <v>33</v>
      </c>
      <c r="AE16" s="454" t="s">
        <v>34</v>
      </c>
      <c r="AF16" s="454" t="s">
        <v>35</v>
      </c>
      <c r="AG16" s="461">
        <v>1353</v>
      </c>
      <c r="AH16" s="461">
        <v>837</v>
      </c>
      <c r="AI16" s="462">
        <v>9.58</v>
      </c>
      <c r="AJ16" s="463">
        <f t="shared" si="4"/>
        <v>1.02</v>
      </c>
      <c r="AK16" s="463"/>
      <c r="AL16" s="464">
        <f t="shared" si="5"/>
        <v>10.6</v>
      </c>
    </row>
    <row r="17" spans="1:38" ht="15">
      <c r="A17" s="451">
        <v>8</v>
      </c>
      <c r="B17" s="452"/>
      <c r="C17" s="453">
        <v>14</v>
      </c>
      <c r="D17" s="454">
        <v>1963</v>
      </c>
      <c r="E17" s="454" t="s">
        <v>28</v>
      </c>
      <c r="F17" s="454">
        <v>5</v>
      </c>
      <c r="G17" s="454" t="s">
        <v>29</v>
      </c>
      <c r="H17" s="455">
        <f aca="true" t="shared" si="6" ref="H17:H23">J17*1110/2836.5</f>
        <v>1323.2577472236912</v>
      </c>
      <c r="I17" s="455">
        <v>13444.7</v>
      </c>
      <c r="J17" s="455">
        <f t="shared" si="2"/>
        <v>3381.46</v>
      </c>
      <c r="K17" s="456">
        <f>3137.46-R17</f>
        <v>2989.76</v>
      </c>
      <c r="L17" s="456"/>
      <c r="M17" s="457">
        <v>88.1</v>
      </c>
      <c r="N17" s="458">
        <v>75</v>
      </c>
      <c r="O17" s="453">
        <v>2</v>
      </c>
      <c r="P17" s="454">
        <v>4</v>
      </c>
      <c r="Q17" s="455">
        <v>244</v>
      </c>
      <c r="R17" s="455">
        <f t="shared" si="3"/>
        <v>147.7</v>
      </c>
      <c r="S17" s="455"/>
      <c r="T17" s="455">
        <v>147.7</v>
      </c>
      <c r="U17" s="455"/>
      <c r="V17" s="455">
        <v>673.9</v>
      </c>
      <c r="W17" s="455"/>
      <c r="X17" s="459" t="s">
        <v>30</v>
      </c>
      <c r="Y17" s="459" t="s">
        <v>31</v>
      </c>
      <c r="Z17" s="460" t="s">
        <v>32</v>
      </c>
      <c r="AA17" s="460" t="s">
        <v>32</v>
      </c>
      <c r="AB17" s="460" t="s">
        <v>32</v>
      </c>
      <c r="AC17" s="460" t="s">
        <v>32</v>
      </c>
      <c r="AD17" s="454" t="s">
        <v>33</v>
      </c>
      <c r="AE17" s="454" t="s">
        <v>34</v>
      </c>
      <c r="AF17" s="454" t="s">
        <v>35</v>
      </c>
      <c r="AG17" s="461">
        <v>633</v>
      </c>
      <c r="AH17" s="461">
        <v>1271</v>
      </c>
      <c r="AI17" s="462">
        <f>AI13</f>
        <v>9.17</v>
      </c>
      <c r="AJ17" s="463">
        <f t="shared" si="4"/>
        <v>1.02</v>
      </c>
      <c r="AK17" s="463"/>
      <c r="AL17" s="464">
        <f t="shared" si="5"/>
        <v>10.19</v>
      </c>
    </row>
    <row r="18" spans="1:38" ht="15">
      <c r="A18" s="451">
        <v>9</v>
      </c>
      <c r="B18" s="452"/>
      <c r="C18" s="453">
        <v>16</v>
      </c>
      <c r="D18" s="454">
        <v>1963</v>
      </c>
      <c r="E18" s="454" t="s">
        <v>28</v>
      </c>
      <c r="F18" s="454">
        <v>5</v>
      </c>
      <c r="G18" s="454" t="s">
        <v>29</v>
      </c>
      <c r="H18" s="455">
        <f t="shared" si="6"/>
        <v>1342.409307244844</v>
      </c>
      <c r="I18" s="455">
        <v>13465</v>
      </c>
      <c r="J18" s="455">
        <f t="shared" si="2"/>
        <v>3430.4</v>
      </c>
      <c r="K18" s="456">
        <f>3182.4-R18</f>
        <v>3182.4</v>
      </c>
      <c r="L18" s="456"/>
      <c r="M18" s="457">
        <v>317.1</v>
      </c>
      <c r="N18" s="458">
        <v>80</v>
      </c>
      <c r="O18" s="453">
        <v>8</v>
      </c>
      <c r="P18" s="454">
        <v>4</v>
      </c>
      <c r="Q18" s="455">
        <v>248</v>
      </c>
      <c r="R18" s="455">
        <f t="shared" si="3"/>
        <v>0</v>
      </c>
      <c r="S18" s="455"/>
      <c r="T18" s="455"/>
      <c r="U18" s="455"/>
      <c r="V18" s="455">
        <v>868.7</v>
      </c>
      <c r="W18" s="455"/>
      <c r="X18" s="459" t="s">
        <v>30</v>
      </c>
      <c r="Y18" s="459" t="s">
        <v>31</v>
      </c>
      <c r="Z18" s="460" t="s">
        <v>32</v>
      </c>
      <c r="AA18" s="460" t="s">
        <v>32</v>
      </c>
      <c r="AB18" s="460" t="s">
        <v>32</v>
      </c>
      <c r="AC18" s="460" t="s">
        <v>32</v>
      </c>
      <c r="AD18" s="454" t="s">
        <v>33</v>
      </c>
      <c r="AE18" s="454" t="s">
        <v>34</v>
      </c>
      <c r="AF18" s="454" t="s">
        <v>35</v>
      </c>
      <c r="AG18" s="461">
        <v>547</v>
      </c>
      <c r="AH18" s="461">
        <v>965</v>
      </c>
      <c r="AI18" s="462">
        <f>AI17</f>
        <v>9.17</v>
      </c>
      <c r="AJ18" s="463">
        <f t="shared" si="4"/>
        <v>1.02</v>
      </c>
      <c r="AK18" s="463"/>
      <c r="AL18" s="464">
        <f t="shared" si="5"/>
        <v>10.19</v>
      </c>
    </row>
    <row r="19" spans="1:38" ht="15">
      <c r="A19" s="451">
        <v>10</v>
      </c>
      <c r="B19" s="452"/>
      <c r="C19" s="453">
        <v>17</v>
      </c>
      <c r="D19" s="454">
        <v>1963</v>
      </c>
      <c r="E19" s="454" t="s">
        <v>28</v>
      </c>
      <c r="F19" s="454">
        <v>5</v>
      </c>
      <c r="G19" s="454" t="s">
        <v>29</v>
      </c>
      <c r="H19" s="455">
        <f t="shared" si="6"/>
        <v>1356.4970914859862</v>
      </c>
      <c r="I19" s="455">
        <v>13400</v>
      </c>
      <c r="J19" s="455">
        <f t="shared" si="2"/>
        <v>3466.4</v>
      </c>
      <c r="K19" s="456">
        <f>3226.4-R19</f>
        <v>3193.4</v>
      </c>
      <c r="L19" s="456"/>
      <c r="M19" s="457">
        <v>408.8</v>
      </c>
      <c r="N19" s="458">
        <v>80</v>
      </c>
      <c r="O19" s="453">
        <v>10</v>
      </c>
      <c r="P19" s="454">
        <v>4</v>
      </c>
      <c r="Q19" s="455">
        <v>240</v>
      </c>
      <c r="R19" s="455">
        <f t="shared" si="3"/>
        <v>33</v>
      </c>
      <c r="S19" s="455"/>
      <c r="T19" s="455">
        <v>33</v>
      </c>
      <c r="U19" s="455"/>
      <c r="V19" s="455">
        <v>679.1</v>
      </c>
      <c r="W19" s="455"/>
      <c r="X19" s="459" t="s">
        <v>30</v>
      </c>
      <c r="Y19" s="459" t="s">
        <v>31</v>
      </c>
      <c r="Z19" s="460" t="s">
        <v>32</v>
      </c>
      <c r="AA19" s="460" t="s">
        <v>32</v>
      </c>
      <c r="AB19" s="460" t="s">
        <v>32</v>
      </c>
      <c r="AC19" s="460" t="s">
        <v>32</v>
      </c>
      <c r="AD19" s="454" t="s">
        <v>33</v>
      </c>
      <c r="AE19" s="454" t="s">
        <v>34</v>
      </c>
      <c r="AF19" s="454" t="s">
        <v>35</v>
      </c>
      <c r="AG19" s="461">
        <v>546</v>
      </c>
      <c r="AH19" s="461">
        <v>998</v>
      </c>
      <c r="AI19" s="462">
        <f>AI18</f>
        <v>9.17</v>
      </c>
      <c r="AJ19" s="463">
        <f t="shared" si="4"/>
        <v>1.02</v>
      </c>
      <c r="AK19" s="463"/>
      <c r="AL19" s="464">
        <f t="shared" si="5"/>
        <v>10.19</v>
      </c>
    </row>
    <row r="20" spans="1:38" ht="15">
      <c r="A20" s="451">
        <v>11</v>
      </c>
      <c r="B20" s="452"/>
      <c r="C20" s="453">
        <v>18</v>
      </c>
      <c r="D20" s="454">
        <v>1965</v>
      </c>
      <c r="E20" s="454" t="s">
        <v>28</v>
      </c>
      <c r="F20" s="454">
        <v>5</v>
      </c>
      <c r="G20" s="454" t="s">
        <v>29</v>
      </c>
      <c r="H20" s="455">
        <f t="shared" si="6"/>
        <v>1335.5610787942887</v>
      </c>
      <c r="I20" s="455">
        <v>13678</v>
      </c>
      <c r="J20" s="455">
        <f t="shared" si="2"/>
        <v>3412.9</v>
      </c>
      <c r="K20" s="456">
        <f>3166.9-R20</f>
        <v>3166.9</v>
      </c>
      <c r="L20" s="456"/>
      <c r="M20" s="457">
        <v>200</v>
      </c>
      <c r="N20" s="458">
        <v>80</v>
      </c>
      <c r="O20" s="453">
        <v>5</v>
      </c>
      <c r="P20" s="454">
        <v>4</v>
      </c>
      <c r="Q20" s="455">
        <v>246</v>
      </c>
      <c r="R20" s="455">
        <f t="shared" si="3"/>
        <v>0</v>
      </c>
      <c r="S20" s="455"/>
      <c r="T20" s="455"/>
      <c r="U20" s="455"/>
      <c r="V20" s="455">
        <v>679.3</v>
      </c>
      <c r="W20" s="455"/>
      <c r="X20" s="459" t="s">
        <v>30</v>
      </c>
      <c r="Y20" s="459" t="s">
        <v>31</v>
      </c>
      <c r="Z20" s="460" t="s">
        <v>32</v>
      </c>
      <c r="AA20" s="460" t="s">
        <v>32</v>
      </c>
      <c r="AB20" s="460" t="s">
        <v>32</v>
      </c>
      <c r="AC20" s="460" t="s">
        <v>32</v>
      </c>
      <c r="AD20" s="454" t="s">
        <v>33</v>
      </c>
      <c r="AE20" s="454" t="s">
        <v>34</v>
      </c>
      <c r="AF20" s="454" t="s">
        <v>35</v>
      </c>
      <c r="AG20" s="461">
        <v>553</v>
      </c>
      <c r="AH20" s="461">
        <v>966</v>
      </c>
      <c r="AI20" s="462">
        <f>AI19</f>
        <v>9.17</v>
      </c>
      <c r="AJ20" s="463">
        <f t="shared" si="4"/>
        <v>1.02</v>
      </c>
      <c r="AK20" s="463"/>
      <c r="AL20" s="464">
        <f t="shared" si="5"/>
        <v>10.19</v>
      </c>
    </row>
    <row r="21" spans="1:38" ht="15">
      <c r="A21" s="451">
        <v>12</v>
      </c>
      <c r="B21" s="452"/>
      <c r="C21" s="453">
        <v>19</v>
      </c>
      <c r="D21" s="454">
        <v>1966</v>
      </c>
      <c r="E21" s="454" t="s">
        <v>28</v>
      </c>
      <c r="F21" s="454">
        <v>5</v>
      </c>
      <c r="G21" s="454" t="s">
        <v>29</v>
      </c>
      <c r="H21" s="455">
        <f t="shared" si="6"/>
        <v>1345.3833950290852</v>
      </c>
      <c r="I21" s="455">
        <v>13619</v>
      </c>
      <c r="J21" s="455">
        <f t="shared" si="2"/>
        <v>3438</v>
      </c>
      <c r="K21" s="456">
        <f>3192-R21</f>
        <v>3192</v>
      </c>
      <c r="L21" s="456"/>
      <c r="M21" s="457">
        <v>325.1</v>
      </c>
      <c r="N21" s="458">
        <v>80</v>
      </c>
      <c r="O21" s="453">
        <v>9</v>
      </c>
      <c r="P21" s="454">
        <v>4</v>
      </c>
      <c r="Q21" s="455">
        <v>246</v>
      </c>
      <c r="R21" s="455">
        <f t="shared" si="3"/>
        <v>0</v>
      </c>
      <c r="S21" s="455"/>
      <c r="T21" s="455"/>
      <c r="U21" s="455"/>
      <c r="V21" s="455">
        <v>679.3</v>
      </c>
      <c r="W21" s="455"/>
      <c r="X21" s="459" t="s">
        <v>30</v>
      </c>
      <c r="Y21" s="459" t="s">
        <v>31</v>
      </c>
      <c r="Z21" s="460" t="s">
        <v>32</v>
      </c>
      <c r="AA21" s="460" t="s">
        <v>32</v>
      </c>
      <c r="AB21" s="460" t="s">
        <v>32</v>
      </c>
      <c r="AC21" s="460" t="s">
        <v>32</v>
      </c>
      <c r="AD21" s="454" t="s">
        <v>33</v>
      </c>
      <c r="AE21" s="454" t="s">
        <v>34</v>
      </c>
      <c r="AF21" s="454" t="s">
        <v>35</v>
      </c>
      <c r="AG21" s="461">
        <v>550</v>
      </c>
      <c r="AH21" s="461">
        <v>940</v>
      </c>
      <c r="AI21" s="462">
        <f>AI20</f>
        <v>9.17</v>
      </c>
      <c r="AJ21" s="463">
        <f t="shared" si="4"/>
        <v>1.02</v>
      </c>
      <c r="AK21" s="463"/>
      <c r="AL21" s="464">
        <f t="shared" si="5"/>
        <v>10.19</v>
      </c>
    </row>
    <row r="22" spans="1:38" ht="15">
      <c r="A22" s="451">
        <v>13</v>
      </c>
      <c r="B22" s="452"/>
      <c r="C22" s="453">
        <v>21</v>
      </c>
      <c r="D22" s="454">
        <v>1968</v>
      </c>
      <c r="E22" s="454" t="s">
        <v>28</v>
      </c>
      <c r="F22" s="454">
        <v>5</v>
      </c>
      <c r="G22" s="454" t="s">
        <v>29</v>
      </c>
      <c r="H22" s="455">
        <f t="shared" si="6"/>
        <v>1341.3918561607616</v>
      </c>
      <c r="I22" s="455">
        <v>13099</v>
      </c>
      <c r="J22" s="455">
        <f t="shared" si="2"/>
        <v>3427.8</v>
      </c>
      <c r="K22" s="456">
        <f>3183.4-R22</f>
        <v>3183.4</v>
      </c>
      <c r="L22" s="456"/>
      <c r="M22" s="457">
        <v>377.3</v>
      </c>
      <c r="N22" s="458">
        <v>80</v>
      </c>
      <c r="O22" s="453">
        <v>9</v>
      </c>
      <c r="P22" s="454">
        <v>4</v>
      </c>
      <c r="Q22" s="455">
        <v>244.4</v>
      </c>
      <c r="R22" s="455">
        <f t="shared" si="3"/>
        <v>0</v>
      </c>
      <c r="S22" s="455"/>
      <c r="T22" s="455"/>
      <c r="U22" s="455"/>
      <c r="V22" s="455"/>
      <c r="W22" s="455"/>
      <c r="X22" s="459" t="s">
        <v>30</v>
      </c>
      <c r="Y22" s="459" t="s">
        <v>31</v>
      </c>
      <c r="Z22" s="460" t="s">
        <v>32</v>
      </c>
      <c r="AA22" s="460" t="s">
        <v>32</v>
      </c>
      <c r="AB22" s="460" t="s">
        <v>32</v>
      </c>
      <c r="AC22" s="460" t="s">
        <v>32</v>
      </c>
      <c r="AD22" s="454" t="s">
        <v>33</v>
      </c>
      <c r="AE22" s="454" t="s">
        <v>34</v>
      </c>
      <c r="AF22" s="454" t="s">
        <v>35</v>
      </c>
      <c r="AG22" s="461">
        <v>467</v>
      </c>
      <c r="AH22" s="461">
        <v>366</v>
      </c>
      <c r="AI22" s="462">
        <f>AI15</f>
        <v>9.07</v>
      </c>
      <c r="AJ22" s="463">
        <f t="shared" si="4"/>
        <v>1.02</v>
      </c>
      <c r="AK22" s="463"/>
      <c r="AL22" s="464">
        <f t="shared" si="5"/>
        <v>10.09</v>
      </c>
    </row>
    <row r="23" spans="1:38" ht="15">
      <c r="A23" s="451">
        <v>14</v>
      </c>
      <c r="B23" s="452"/>
      <c r="C23" s="453">
        <v>22</v>
      </c>
      <c r="D23" s="454">
        <v>1968</v>
      </c>
      <c r="E23" s="454" t="s">
        <v>28</v>
      </c>
      <c r="F23" s="454">
        <v>5</v>
      </c>
      <c r="G23" s="454" t="s">
        <v>29</v>
      </c>
      <c r="H23" s="455">
        <f t="shared" si="6"/>
        <v>1363.5409836065573</v>
      </c>
      <c r="I23" s="455">
        <v>13761</v>
      </c>
      <c r="J23" s="455">
        <f t="shared" si="2"/>
        <v>3484.4</v>
      </c>
      <c r="K23" s="456">
        <f>3235.8-R23</f>
        <v>3235.8</v>
      </c>
      <c r="L23" s="456"/>
      <c r="M23" s="457">
        <v>409</v>
      </c>
      <c r="N23" s="458">
        <v>80</v>
      </c>
      <c r="O23" s="453">
        <v>10</v>
      </c>
      <c r="P23" s="454">
        <v>4</v>
      </c>
      <c r="Q23" s="455">
        <v>248.6</v>
      </c>
      <c r="R23" s="455">
        <f t="shared" si="3"/>
        <v>0</v>
      </c>
      <c r="S23" s="455"/>
      <c r="T23" s="455"/>
      <c r="U23" s="455"/>
      <c r="V23" s="455"/>
      <c r="W23" s="455"/>
      <c r="X23" s="459" t="s">
        <v>30</v>
      </c>
      <c r="Y23" s="459" t="s">
        <v>31</v>
      </c>
      <c r="Z23" s="460" t="s">
        <v>32</v>
      </c>
      <c r="AA23" s="460" t="s">
        <v>32</v>
      </c>
      <c r="AB23" s="460" t="s">
        <v>32</v>
      </c>
      <c r="AC23" s="460" t="s">
        <v>32</v>
      </c>
      <c r="AD23" s="454" t="s">
        <v>33</v>
      </c>
      <c r="AE23" s="454" t="s">
        <v>34</v>
      </c>
      <c r="AF23" s="454" t="s">
        <v>35</v>
      </c>
      <c r="AG23" s="461">
        <v>516</v>
      </c>
      <c r="AH23" s="461">
        <v>399</v>
      </c>
      <c r="AI23" s="462">
        <f>AI22</f>
        <v>9.07</v>
      </c>
      <c r="AJ23" s="463">
        <f t="shared" si="4"/>
        <v>1.02</v>
      </c>
      <c r="AK23" s="463"/>
      <c r="AL23" s="464">
        <f t="shared" si="5"/>
        <v>10.09</v>
      </c>
    </row>
    <row r="24" spans="1:38" ht="15">
      <c r="A24" s="451">
        <v>15</v>
      </c>
      <c r="B24" s="452"/>
      <c r="C24" s="453">
        <v>23</v>
      </c>
      <c r="D24" s="454">
        <v>1984</v>
      </c>
      <c r="E24" s="454" t="s">
        <v>28</v>
      </c>
      <c r="F24" s="454">
        <v>5</v>
      </c>
      <c r="G24" s="454" t="s">
        <v>38</v>
      </c>
      <c r="H24" s="455">
        <f>V24</f>
        <v>716</v>
      </c>
      <c r="I24" s="455">
        <v>13145</v>
      </c>
      <c r="J24" s="455">
        <f t="shared" si="2"/>
        <v>3686.1</v>
      </c>
      <c r="K24" s="456">
        <v>3371.1</v>
      </c>
      <c r="L24" s="456"/>
      <c r="M24" s="457">
        <v>437.7</v>
      </c>
      <c r="N24" s="458">
        <v>70</v>
      </c>
      <c r="O24" s="453">
        <v>9</v>
      </c>
      <c r="P24" s="454">
        <v>4</v>
      </c>
      <c r="Q24" s="455">
        <v>315</v>
      </c>
      <c r="R24" s="455">
        <f t="shared" si="3"/>
        <v>0</v>
      </c>
      <c r="S24" s="455"/>
      <c r="T24" s="455"/>
      <c r="U24" s="455"/>
      <c r="V24" s="455">
        <v>716</v>
      </c>
      <c r="W24" s="455"/>
      <c r="X24" s="459" t="s">
        <v>30</v>
      </c>
      <c r="Y24" s="459" t="s">
        <v>31</v>
      </c>
      <c r="Z24" s="460" t="s">
        <v>32</v>
      </c>
      <c r="AA24" s="460" t="s">
        <v>32</v>
      </c>
      <c r="AB24" s="460" t="s">
        <v>32</v>
      </c>
      <c r="AC24" s="460" t="s">
        <v>32</v>
      </c>
      <c r="AD24" s="454" t="s">
        <v>33</v>
      </c>
      <c r="AE24" s="454" t="s">
        <v>34</v>
      </c>
      <c r="AF24" s="454" t="s">
        <v>35</v>
      </c>
      <c r="AG24" s="461">
        <v>516</v>
      </c>
      <c r="AH24" s="461">
        <v>621</v>
      </c>
      <c r="AI24" s="462">
        <v>8.98</v>
      </c>
      <c r="AJ24" s="463">
        <f t="shared" si="4"/>
        <v>1.02</v>
      </c>
      <c r="AK24" s="463"/>
      <c r="AL24" s="464">
        <f t="shared" si="5"/>
        <v>10</v>
      </c>
    </row>
    <row r="25" spans="1:38" ht="15">
      <c r="A25" s="451">
        <v>16</v>
      </c>
      <c r="B25" s="452" t="s">
        <v>39</v>
      </c>
      <c r="C25" s="453">
        <v>24</v>
      </c>
      <c r="D25" s="454">
        <v>1978</v>
      </c>
      <c r="E25" s="454" t="s">
        <v>28</v>
      </c>
      <c r="F25" s="454">
        <v>5</v>
      </c>
      <c r="G25" s="454" t="s">
        <v>38</v>
      </c>
      <c r="H25" s="455">
        <v>507.4</v>
      </c>
      <c r="I25" s="455">
        <v>10824</v>
      </c>
      <c r="J25" s="455">
        <f t="shared" si="2"/>
        <v>2041.5900000000001</v>
      </c>
      <c r="K25" s="456">
        <f>1163.39-R25</f>
        <v>1066.69</v>
      </c>
      <c r="L25" s="456"/>
      <c r="M25" s="457">
        <v>638.44</v>
      </c>
      <c r="N25" s="458">
        <v>84</v>
      </c>
      <c r="O25" s="453">
        <v>56</v>
      </c>
      <c r="P25" s="454">
        <v>1</v>
      </c>
      <c r="Q25" s="455">
        <v>878.2</v>
      </c>
      <c r="R25" s="455">
        <f t="shared" si="3"/>
        <v>96.7</v>
      </c>
      <c r="S25" s="455"/>
      <c r="T25" s="455">
        <f>46.5+50.2</f>
        <v>96.7</v>
      </c>
      <c r="U25" s="455"/>
      <c r="V25" s="455">
        <v>507.4</v>
      </c>
      <c r="W25" s="455"/>
      <c r="X25" s="459" t="s">
        <v>30</v>
      </c>
      <c r="Y25" s="459" t="s">
        <v>37</v>
      </c>
      <c r="Z25" s="460" t="s">
        <v>32</v>
      </c>
      <c r="AA25" s="460" t="s">
        <v>32</v>
      </c>
      <c r="AB25" s="460" t="s">
        <v>32</v>
      </c>
      <c r="AC25" s="460" t="s">
        <v>32</v>
      </c>
      <c r="AD25" s="454" t="s">
        <v>33</v>
      </c>
      <c r="AE25" s="454" t="s">
        <v>34</v>
      </c>
      <c r="AF25" s="454" t="s">
        <v>35</v>
      </c>
      <c r="AG25" s="461">
        <v>513</v>
      </c>
      <c r="AH25" s="461">
        <v>1052</v>
      </c>
      <c r="AI25" s="462">
        <v>27.29</v>
      </c>
      <c r="AJ25" s="463">
        <f t="shared" si="4"/>
        <v>1.02</v>
      </c>
      <c r="AK25" s="463"/>
      <c r="AL25" s="464">
        <f t="shared" si="5"/>
        <v>28.31</v>
      </c>
    </row>
    <row r="26" spans="1:38" ht="15">
      <c r="A26" s="955">
        <v>17</v>
      </c>
      <c r="B26" s="958"/>
      <c r="C26" s="956">
        <v>25</v>
      </c>
      <c r="D26" s="953">
        <v>1991</v>
      </c>
      <c r="E26" s="953" t="s">
        <v>28</v>
      </c>
      <c r="F26" s="953">
        <v>5</v>
      </c>
      <c r="G26" s="953" t="s">
        <v>38</v>
      </c>
      <c r="H26" s="954">
        <f>V26</f>
        <v>868.6</v>
      </c>
      <c r="I26" s="954">
        <v>15696</v>
      </c>
      <c r="J26" s="954">
        <f t="shared" si="2"/>
        <v>4178.7</v>
      </c>
      <c r="K26" s="838">
        <f>3711.2-R26</f>
        <v>3711.2</v>
      </c>
      <c r="L26" s="456"/>
      <c r="M26" s="844">
        <v>901.8</v>
      </c>
      <c r="N26" s="842">
        <v>60</v>
      </c>
      <c r="O26" s="840">
        <v>15</v>
      </c>
      <c r="P26" s="953">
        <v>6</v>
      </c>
      <c r="Q26" s="954">
        <v>467.5</v>
      </c>
      <c r="R26" s="954">
        <f t="shared" si="3"/>
        <v>0</v>
      </c>
      <c r="S26" s="954"/>
      <c r="T26" s="954"/>
      <c r="U26" s="954"/>
      <c r="V26" s="954">
        <v>868.6</v>
      </c>
      <c r="W26" s="954"/>
      <c r="X26" s="876" t="s">
        <v>30</v>
      </c>
      <c r="Y26" s="459" t="s">
        <v>37</v>
      </c>
      <c r="Z26" s="959" t="s">
        <v>32</v>
      </c>
      <c r="AA26" s="959" t="s">
        <v>32</v>
      </c>
      <c r="AB26" s="959" t="s">
        <v>32</v>
      </c>
      <c r="AC26" s="959" t="s">
        <v>32</v>
      </c>
      <c r="AD26" s="953" t="s">
        <v>33</v>
      </c>
      <c r="AE26" s="953" t="s">
        <v>34</v>
      </c>
      <c r="AF26" s="953" t="s">
        <v>35</v>
      </c>
      <c r="AG26" s="957">
        <v>1235</v>
      </c>
      <c r="AH26" s="957">
        <v>875</v>
      </c>
      <c r="AI26" s="961">
        <v>9.55</v>
      </c>
      <c r="AJ26" s="953">
        <f t="shared" si="4"/>
        <v>1.02</v>
      </c>
      <c r="AK26" s="953"/>
      <c r="AL26" s="960">
        <f t="shared" si="5"/>
        <v>10.57</v>
      </c>
    </row>
    <row r="27" spans="1:38" ht="15">
      <c r="A27" s="955"/>
      <c r="B27" s="958"/>
      <c r="C27" s="956"/>
      <c r="D27" s="953"/>
      <c r="E27" s="953"/>
      <c r="F27" s="953"/>
      <c r="G27" s="953"/>
      <c r="H27" s="954"/>
      <c r="I27" s="954"/>
      <c r="J27" s="954"/>
      <c r="K27" s="839"/>
      <c r="L27" s="523">
        <v>10</v>
      </c>
      <c r="M27" s="845"/>
      <c r="N27" s="843"/>
      <c r="O27" s="841"/>
      <c r="P27" s="953"/>
      <c r="Q27" s="954"/>
      <c r="R27" s="954"/>
      <c r="S27" s="954"/>
      <c r="T27" s="954"/>
      <c r="U27" s="954"/>
      <c r="V27" s="954"/>
      <c r="W27" s="954"/>
      <c r="X27" s="876"/>
      <c r="Y27" s="459" t="s">
        <v>107</v>
      </c>
      <c r="Z27" s="959"/>
      <c r="AA27" s="959"/>
      <c r="AB27" s="959"/>
      <c r="AC27" s="959"/>
      <c r="AD27" s="953"/>
      <c r="AE27" s="953"/>
      <c r="AF27" s="953"/>
      <c r="AG27" s="957"/>
      <c r="AH27" s="957"/>
      <c r="AI27" s="961"/>
      <c r="AJ27" s="953"/>
      <c r="AK27" s="953"/>
      <c r="AL27" s="960"/>
    </row>
    <row r="28" spans="1:38" ht="15">
      <c r="A28" s="451">
        <v>18</v>
      </c>
      <c r="B28" s="452"/>
      <c r="C28" s="453">
        <v>26</v>
      </c>
      <c r="D28" s="454">
        <v>1979</v>
      </c>
      <c r="E28" s="454" t="s">
        <v>28</v>
      </c>
      <c r="F28" s="454">
        <v>5</v>
      </c>
      <c r="G28" s="454" t="s">
        <v>38</v>
      </c>
      <c r="H28" s="455">
        <f>V28</f>
        <v>1010.9</v>
      </c>
      <c r="I28" s="455">
        <v>17490</v>
      </c>
      <c r="J28" s="455">
        <f aca="true" t="shared" si="7" ref="J28:J35">K28+Q28+R28</f>
        <v>4929.400000000001</v>
      </c>
      <c r="K28" s="456">
        <f>4444.8-R28</f>
        <v>4444.8</v>
      </c>
      <c r="L28" s="456"/>
      <c r="M28" s="457">
        <v>434.7</v>
      </c>
      <c r="N28" s="458">
        <v>100</v>
      </c>
      <c r="O28" s="453">
        <v>10</v>
      </c>
      <c r="P28" s="454">
        <v>6</v>
      </c>
      <c r="Q28" s="455">
        <v>484.6</v>
      </c>
      <c r="R28" s="455">
        <f aca="true" t="shared" si="8" ref="R28:R35">SUM(S28:T28)</f>
        <v>0</v>
      </c>
      <c r="S28" s="455"/>
      <c r="T28" s="455"/>
      <c r="U28" s="455"/>
      <c r="V28" s="455">
        <v>1010.9</v>
      </c>
      <c r="W28" s="455"/>
      <c r="X28" s="459" t="s">
        <v>30</v>
      </c>
      <c r="Y28" s="459" t="s">
        <v>31</v>
      </c>
      <c r="Z28" s="460" t="s">
        <v>32</v>
      </c>
      <c r="AA28" s="460" t="s">
        <v>32</v>
      </c>
      <c r="AB28" s="460" t="s">
        <v>32</v>
      </c>
      <c r="AC28" s="460" t="s">
        <v>32</v>
      </c>
      <c r="AD28" s="454" t="s">
        <v>33</v>
      </c>
      <c r="AE28" s="454" t="s">
        <v>34</v>
      </c>
      <c r="AF28" s="454" t="s">
        <v>35</v>
      </c>
      <c r="AG28" s="461">
        <v>867</v>
      </c>
      <c r="AH28" s="461">
        <v>893</v>
      </c>
      <c r="AI28" s="462">
        <f>AI24</f>
        <v>8.98</v>
      </c>
      <c r="AJ28" s="463">
        <f aca="true" t="shared" si="9" ref="AJ28:AJ35">AJ$8</f>
        <v>1.02</v>
      </c>
      <c r="AK28" s="463"/>
      <c r="AL28" s="464">
        <f aca="true" t="shared" si="10" ref="AL28:AL35">SUM(AI28:AK28)</f>
        <v>10</v>
      </c>
    </row>
    <row r="29" spans="1:38" ht="15">
      <c r="A29" s="451">
        <v>19</v>
      </c>
      <c r="B29" s="452"/>
      <c r="C29" s="453">
        <v>27</v>
      </c>
      <c r="D29" s="454">
        <v>1984</v>
      </c>
      <c r="E29" s="454" t="s">
        <v>28</v>
      </c>
      <c r="F29" s="454">
        <v>5</v>
      </c>
      <c r="G29" s="454" t="s">
        <v>38</v>
      </c>
      <c r="H29" s="455">
        <f>V29</f>
        <v>1021.3</v>
      </c>
      <c r="I29" s="455">
        <v>17831</v>
      </c>
      <c r="J29" s="455">
        <f t="shared" si="7"/>
        <v>5078.9</v>
      </c>
      <c r="K29" s="456">
        <f>4635.9-R29</f>
        <v>4635.9</v>
      </c>
      <c r="L29" s="456"/>
      <c r="M29" s="457">
        <v>565.9</v>
      </c>
      <c r="N29" s="458">
        <v>100</v>
      </c>
      <c r="O29" s="453">
        <v>12</v>
      </c>
      <c r="P29" s="454">
        <v>6</v>
      </c>
      <c r="Q29" s="455">
        <v>443</v>
      </c>
      <c r="R29" s="455">
        <f t="shared" si="8"/>
        <v>0</v>
      </c>
      <c r="S29" s="455"/>
      <c r="T29" s="455"/>
      <c r="U29" s="455"/>
      <c r="V29" s="455">
        <v>1021.3</v>
      </c>
      <c r="W29" s="455"/>
      <c r="X29" s="459" t="s">
        <v>30</v>
      </c>
      <c r="Y29" s="459" t="s">
        <v>31</v>
      </c>
      <c r="Z29" s="460" t="s">
        <v>32</v>
      </c>
      <c r="AA29" s="460" t="s">
        <v>32</v>
      </c>
      <c r="AB29" s="460" t="s">
        <v>32</v>
      </c>
      <c r="AC29" s="460" t="s">
        <v>32</v>
      </c>
      <c r="AD29" s="454" t="s">
        <v>33</v>
      </c>
      <c r="AE29" s="454" t="s">
        <v>34</v>
      </c>
      <c r="AF29" s="454" t="s">
        <v>35</v>
      </c>
      <c r="AG29" s="461">
        <v>857</v>
      </c>
      <c r="AH29" s="461">
        <v>876</v>
      </c>
      <c r="AI29" s="462">
        <f>AI28</f>
        <v>8.98</v>
      </c>
      <c r="AJ29" s="463">
        <f t="shared" si="9"/>
        <v>1.02</v>
      </c>
      <c r="AK29" s="463"/>
      <c r="AL29" s="464">
        <f t="shared" si="10"/>
        <v>10</v>
      </c>
    </row>
    <row r="30" spans="1:38" ht="15">
      <c r="A30" s="451">
        <v>20</v>
      </c>
      <c r="B30" s="452"/>
      <c r="C30" s="453">
        <v>29</v>
      </c>
      <c r="D30" s="454">
        <v>1975</v>
      </c>
      <c r="E30" s="454" t="s">
        <v>28</v>
      </c>
      <c r="F30" s="454">
        <v>5</v>
      </c>
      <c r="G30" s="454" t="s">
        <v>29</v>
      </c>
      <c r="H30" s="455">
        <f>J30*1110/2836.5</f>
        <v>1914.2168164992067</v>
      </c>
      <c r="I30" s="455">
        <v>18245</v>
      </c>
      <c r="J30" s="455">
        <f t="shared" si="7"/>
        <v>4891.6</v>
      </c>
      <c r="K30" s="456">
        <f>4494.6-R30</f>
        <v>4494.6</v>
      </c>
      <c r="L30" s="456"/>
      <c r="M30" s="457">
        <v>360.9</v>
      </c>
      <c r="N30" s="458">
        <v>100</v>
      </c>
      <c r="O30" s="453">
        <v>8</v>
      </c>
      <c r="P30" s="454">
        <v>6</v>
      </c>
      <c r="Q30" s="455">
        <v>397</v>
      </c>
      <c r="R30" s="455">
        <f t="shared" si="8"/>
        <v>0</v>
      </c>
      <c r="S30" s="455"/>
      <c r="T30" s="455"/>
      <c r="U30" s="455"/>
      <c r="V30" s="455">
        <v>945.9</v>
      </c>
      <c r="W30" s="455"/>
      <c r="X30" s="459" t="s">
        <v>30</v>
      </c>
      <c r="Y30" s="459" t="s">
        <v>31</v>
      </c>
      <c r="Z30" s="460" t="s">
        <v>32</v>
      </c>
      <c r="AA30" s="460" t="s">
        <v>32</v>
      </c>
      <c r="AB30" s="460" t="s">
        <v>32</v>
      </c>
      <c r="AC30" s="460" t="s">
        <v>32</v>
      </c>
      <c r="AD30" s="454" t="s">
        <v>33</v>
      </c>
      <c r="AE30" s="454" t="s">
        <v>34</v>
      </c>
      <c r="AF30" s="454" t="s">
        <v>35</v>
      </c>
      <c r="AG30" s="461">
        <v>857</v>
      </c>
      <c r="AH30" s="461">
        <v>876</v>
      </c>
      <c r="AI30" s="462">
        <f>AI29</f>
        <v>8.98</v>
      </c>
      <c r="AJ30" s="463">
        <f t="shared" si="9"/>
        <v>1.02</v>
      </c>
      <c r="AK30" s="463"/>
      <c r="AL30" s="464">
        <f t="shared" si="10"/>
        <v>10</v>
      </c>
    </row>
    <row r="31" spans="1:38" ht="15">
      <c r="A31" s="451">
        <v>21</v>
      </c>
      <c r="B31" s="452"/>
      <c r="C31" s="453">
        <v>30</v>
      </c>
      <c r="D31" s="454">
        <v>1973</v>
      </c>
      <c r="E31" s="454" t="s">
        <v>28</v>
      </c>
      <c r="F31" s="454">
        <v>5</v>
      </c>
      <c r="G31" s="454" t="s">
        <v>29</v>
      </c>
      <c r="H31" s="455">
        <f>J31*1110/2836.5</f>
        <v>1912.064516129032</v>
      </c>
      <c r="I31" s="455">
        <v>17665</v>
      </c>
      <c r="J31" s="455">
        <f t="shared" si="7"/>
        <v>4886.099999999999</v>
      </c>
      <c r="K31" s="456">
        <f>4484.7-R31</f>
        <v>4484.7</v>
      </c>
      <c r="L31" s="456"/>
      <c r="M31" s="457">
        <v>337.4</v>
      </c>
      <c r="N31" s="458">
        <v>101</v>
      </c>
      <c r="O31" s="453">
        <v>8</v>
      </c>
      <c r="P31" s="454">
        <v>6</v>
      </c>
      <c r="Q31" s="455">
        <v>401.4</v>
      </c>
      <c r="R31" s="455">
        <f t="shared" si="8"/>
        <v>0</v>
      </c>
      <c r="S31" s="455"/>
      <c r="T31" s="455"/>
      <c r="U31" s="455"/>
      <c r="V31" s="455">
        <v>975.1</v>
      </c>
      <c r="W31" s="455"/>
      <c r="X31" s="459" t="s">
        <v>30</v>
      </c>
      <c r="Y31" s="459" t="s">
        <v>31</v>
      </c>
      <c r="Z31" s="460" t="s">
        <v>32</v>
      </c>
      <c r="AA31" s="460" t="s">
        <v>32</v>
      </c>
      <c r="AB31" s="460" t="s">
        <v>32</v>
      </c>
      <c r="AC31" s="460" t="s">
        <v>32</v>
      </c>
      <c r="AD31" s="454" t="s">
        <v>33</v>
      </c>
      <c r="AE31" s="454" t="s">
        <v>34</v>
      </c>
      <c r="AF31" s="454" t="s">
        <v>35</v>
      </c>
      <c r="AG31" s="461">
        <v>857</v>
      </c>
      <c r="AH31" s="461">
        <v>628</v>
      </c>
      <c r="AI31" s="462">
        <v>9.17</v>
      </c>
      <c r="AJ31" s="463">
        <f t="shared" si="9"/>
        <v>1.02</v>
      </c>
      <c r="AK31" s="463"/>
      <c r="AL31" s="464">
        <f t="shared" si="10"/>
        <v>10.19</v>
      </c>
    </row>
    <row r="32" spans="1:38" ht="15">
      <c r="A32" s="451">
        <v>22</v>
      </c>
      <c r="B32" s="452"/>
      <c r="C32" s="453">
        <v>31</v>
      </c>
      <c r="D32" s="454">
        <v>1969</v>
      </c>
      <c r="E32" s="454" t="s">
        <v>28</v>
      </c>
      <c r="F32" s="454">
        <v>5</v>
      </c>
      <c r="G32" s="454" t="s">
        <v>29</v>
      </c>
      <c r="H32" s="455">
        <f>J32*1110/2836.5</f>
        <v>1318.2644103648863</v>
      </c>
      <c r="I32" s="455">
        <v>12046</v>
      </c>
      <c r="J32" s="455">
        <f t="shared" si="7"/>
        <v>3368.7</v>
      </c>
      <c r="K32" s="456">
        <f>3128.7-R32</f>
        <v>3128.7</v>
      </c>
      <c r="L32" s="456"/>
      <c r="M32" s="457">
        <v>289.1</v>
      </c>
      <c r="N32" s="458">
        <v>80</v>
      </c>
      <c r="O32" s="453">
        <v>8</v>
      </c>
      <c r="P32" s="454">
        <v>4</v>
      </c>
      <c r="Q32" s="455">
        <v>240</v>
      </c>
      <c r="R32" s="455">
        <f t="shared" si="8"/>
        <v>0</v>
      </c>
      <c r="S32" s="455"/>
      <c r="T32" s="455"/>
      <c r="U32" s="455"/>
      <c r="V32" s="455">
        <v>679.3</v>
      </c>
      <c r="W32" s="455"/>
      <c r="X32" s="459" t="s">
        <v>30</v>
      </c>
      <c r="Y32" s="459" t="s">
        <v>31</v>
      </c>
      <c r="Z32" s="460" t="s">
        <v>32</v>
      </c>
      <c r="AA32" s="460" t="s">
        <v>32</v>
      </c>
      <c r="AB32" s="460" t="s">
        <v>32</v>
      </c>
      <c r="AC32" s="460" t="s">
        <v>32</v>
      </c>
      <c r="AD32" s="454" t="s">
        <v>33</v>
      </c>
      <c r="AE32" s="454" t="s">
        <v>34</v>
      </c>
      <c r="AF32" s="454" t="s">
        <v>35</v>
      </c>
      <c r="AG32" s="461">
        <v>498</v>
      </c>
      <c r="AH32" s="461">
        <v>460</v>
      </c>
      <c r="AI32" s="462">
        <f>AI31</f>
        <v>9.17</v>
      </c>
      <c r="AJ32" s="463">
        <f t="shared" si="9"/>
        <v>1.02</v>
      </c>
      <c r="AK32" s="463"/>
      <c r="AL32" s="464">
        <f t="shared" si="10"/>
        <v>10.19</v>
      </c>
    </row>
    <row r="33" spans="1:38" ht="15">
      <c r="A33" s="451">
        <v>23</v>
      </c>
      <c r="B33" s="452"/>
      <c r="C33" s="453">
        <v>34</v>
      </c>
      <c r="D33" s="454">
        <v>1966</v>
      </c>
      <c r="E33" s="454" t="s">
        <v>28</v>
      </c>
      <c r="F33" s="454">
        <v>5</v>
      </c>
      <c r="G33" s="454" t="s">
        <v>29</v>
      </c>
      <c r="H33" s="455">
        <f>J33*1110/2836.5</f>
        <v>1333.2522474881016</v>
      </c>
      <c r="I33" s="455">
        <v>13531</v>
      </c>
      <c r="J33" s="455">
        <f t="shared" si="7"/>
        <v>3407</v>
      </c>
      <c r="K33" s="456">
        <f>3165-R33</f>
        <v>3165</v>
      </c>
      <c r="L33" s="456"/>
      <c r="M33" s="457">
        <v>301.9</v>
      </c>
      <c r="N33" s="458">
        <v>80</v>
      </c>
      <c r="O33" s="453">
        <v>8</v>
      </c>
      <c r="P33" s="454">
        <v>4</v>
      </c>
      <c r="Q33" s="455">
        <v>242</v>
      </c>
      <c r="R33" s="455">
        <f t="shared" si="8"/>
        <v>0</v>
      </c>
      <c r="S33" s="455"/>
      <c r="T33" s="455"/>
      <c r="U33" s="455"/>
      <c r="V33" s="455">
        <v>679.3</v>
      </c>
      <c r="W33" s="455"/>
      <c r="X33" s="459" t="s">
        <v>30</v>
      </c>
      <c r="Y33" s="459" t="s">
        <v>31</v>
      </c>
      <c r="Z33" s="460" t="s">
        <v>32</v>
      </c>
      <c r="AA33" s="460" t="s">
        <v>32</v>
      </c>
      <c r="AB33" s="460" t="s">
        <v>32</v>
      </c>
      <c r="AC33" s="460" t="s">
        <v>32</v>
      </c>
      <c r="AD33" s="454" t="s">
        <v>33</v>
      </c>
      <c r="AE33" s="454" t="s">
        <v>34</v>
      </c>
      <c r="AF33" s="454" t="s">
        <v>35</v>
      </c>
      <c r="AG33" s="461">
        <v>504</v>
      </c>
      <c r="AH33" s="461">
        <v>936</v>
      </c>
      <c r="AI33" s="462">
        <f>AI32</f>
        <v>9.17</v>
      </c>
      <c r="AJ33" s="463">
        <f t="shared" si="9"/>
        <v>1.02</v>
      </c>
      <c r="AK33" s="463"/>
      <c r="AL33" s="464">
        <f t="shared" si="10"/>
        <v>10.19</v>
      </c>
    </row>
    <row r="34" spans="1:38" ht="15">
      <c r="A34" s="451">
        <v>24</v>
      </c>
      <c r="B34" s="452"/>
      <c r="C34" s="453">
        <v>37</v>
      </c>
      <c r="D34" s="454">
        <v>1964</v>
      </c>
      <c r="E34" s="454" t="s">
        <v>28</v>
      </c>
      <c r="F34" s="454">
        <v>5</v>
      </c>
      <c r="G34" s="454" t="s">
        <v>29</v>
      </c>
      <c r="H34" s="455">
        <f>J34*1110/2836.5</f>
        <v>1337.0481226864092</v>
      </c>
      <c r="I34" s="455">
        <v>12801</v>
      </c>
      <c r="J34" s="455">
        <f t="shared" si="7"/>
        <v>3416.7</v>
      </c>
      <c r="K34" s="456">
        <f>3174.7-R34</f>
        <v>3174.7</v>
      </c>
      <c r="L34" s="456"/>
      <c r="M34" s="457">
        <v>303</v>
      </c>
      <c r="N34" s="458">
        <v>80</v>
      </c>
      <c r="O34" s="453">
        <v>8</v>
      </c>
      <c r="P34" s="454">
        <v>4</v>
      </c>
      <c r="Q34" s="455">
        <v>242</v>
      </c>
      <c r="R34" s="455">
        <f t="shared" si="8"/>
        <v>0</v>
      </c>
      <c r="S34" s="455"/>
      <c r="T34" s="455"/>
      <c r="U34" s="455"/>
      <c r="V34" s="455">
        <v>673.4</v>
      </c>
      <c r="W34" s="455"/>
      <c r="X34" s="459" t="s">
        <v>30</v>
      </c>
      <c r="Y34" s="459" t="s">
        <v>31</v>
      </c>
      <c r="Z34" s="460" t="s">
        <v>32</v>
      </c>
      <c r="AA34" s="460" t="s">
        <v>32</v>
      </c>
      <c r="AB34" s="460" t="s">
        <v>32</v>
      </c>
      <c r="AC34" s="460" t="s">
        <v>32</v>
      </c>
      <c r="AD34" s="454" t="s">
        <v>33</v>
      </c>
      <c r="AE34" s="454" t="s">
        <v>34</v>
      </c>
      <c r="AF34" s="454" t="s">
        <v>35</v>
      </c>
      <c r="AG34" s="461">
        <v>497</v>
      </c>
      <c r="AH34" s="461">
        <v>590</v>
      </c>
      <c r="AI34" s="462">
        <f>AI33</f>
        <v>9.17</v>
      </c>
      <c r="AJ34" s="463">
        <f t="shared" si="9"/>
        <v>1.02</v>
      </c>
      <c r="AK34" s="463"/>
      <c r="AL34" s="464">
        <f t="shared" si="10"/>
        <v>10.19</v>
      </c>
    </row>
    <row r="35" spans="1:38" ht="15.75" thickBot="1">
      <c r="A35" s="451">
        <v>25</v>
      </c>
      <c r="B35" s="452"/>
      <c r="C35" s="453">
        <v>38</v>
      </c>
      <c r="D35" s="454">
        <v>1983</v>
      </c>
      <c r="E35" s="454" t="s">
        <v>28</v>
      </c>
      <c r="F35" s="454">
        <v>2</v>
      </c>
      <c r="G35" s="454" t="s">
        <v>38</v>
      </c>
      <c r="H35" s="455">
        <f>V35</f>
        <v>337.4</v>
      </c>
      <c r="I35" s="455">
        <v>2627</v>
      </c>
      <c r="J35" s="455">
        <f t="shared" si="7"/>
        <v>643.5</v>
      </c>
      <c r="K35" s="456">
        <f>589.5-R35</f>
        <v>589.5</v>
      </c>
      <c r="L35" s="456"/>
      <c r="M35" s="457">
        <v>0</v>
      </c>
      <c r="N35" s="458">
        <v>12</v>
      </c>
      <c r="O35" s="453">
        <v>0</v>
      </c>
      <c r="P35" s="454">
        <v>2</v>
      </c>
      <c r="Q35" s="455">
        <v>54</v>
      </c>
      <c r="R35" s="455">
        <f t="shared" si="8"/>
        <v>0</v>
      </c>
      <c r="S35" s="455"/>
      <c r="T35" s="455"/>
      <c r="U35" s="455"/>
      <c r="V35" s="455">
        <v>337.4</v>
      </c>
      <c r="W35" s="455"/>
      <c r="X35" s="459" t="s">
        <v>30</v>
      </c>
      <c r="Y35" s="459" t="s">
        <v>31</v>
      </c>
      <c r="Z35" s="460" t="s">
        <v>32</v>
      </c>
      <c r="AA35" s="460" t="s">
        <v>32</v>
      </c>
      <c r="AB35" s="460" t="s">
        <v>32</v>
      </c>
      <c r="AC35" s="460" t="s">
        <v>52</v>
      </c>
      <c r="AD35" s="454" t="s">
        <v>33</v>
      </c>
      <c r="AE35" s="454" t="s">
        <v>34</v>
      </c>
      <c r="AF35" s="454" t="s">
        <v>35</v>
      </c>
      <c r="AG35" s="461">
        <v>349</v>
      </c>
      <c r="AH35" s="461">
        <v>96</v>
      </c>
      <c r="AI35" s="462">
        <v>7.81</v>
      </c>
      <c r="AJ35" s="463">
        <f t="shared" si="9"/>
        <v>1.02</v>
      </c>
      <c r="AK35" s="463"/>
      <c r="AL35" s="464">
        <f t="shared" si="10"/>
        <v>8.83</v>
      </c>
    </row>
    <row r="36" spans="1:38" ht="15.75" thickBot="1">
      <c r="A36" s="487">
        <v>1</v>
      </c>
      <c r="B36" s="487">
        <v>2</v>
      </c>
      <c r="C36" s="487">
        <v>3</v>
      </c>
      <c r="D36" s="487">
        <v>4</v>
      </c>
      <c r="E36" s="487">
        <v>5</v>
      </c>
      <c r="F36" s="487">
        <v>6</v>
      </c>
      <c r="G36" s="487">
        <v>7</v>
      </c>
      <c r="H36" s="487">
        <v>8</v>
      </c>
      <c r="I36" s="487">
        <v>9</v>
      </c>
      <c r="J36" s="487">
        <v>10</v>
      </c>
      <c r="K36" s="487">
        <v>11</v>
      </c>
      <c r="L36" s="487">
        <v>12</v>
      </c>
      <c r="M36" s="487">
        <v>13</v>
      </c>
      <c r="N36" s="487">
        <v>14</v>
      </c>
      <c r="O36" s="487">
        <v>15</v>
      </c>
      <c r="P36" s="487">
        <v>16</v>
      </c>
      <c r="Q36" s="487">
        <v>17</v>
      </c>
      <c r="R36" s="487">
        <v>18</v>
      </c>
      <c r="S36" s="487">
        <v>19</v>
      </c>
      <c r="T36" s="487">
        <v>20</v>
      </c>
      <c r="U36" s="487">
        <v>21</v>
      </c>
      <c r="V36" s="487">
        <v>22</v>
      </c>
      <c r="W36" s="487">
        <v>23</v>
      </c>
      <c r="X36" s="487">
        <v>24</v>
      </c>
      <c r="Y36" s="487">
        <v>25</v>
      </c>
      <c r="Z36" s="487">
        <v>26</v>
      </c>
      <c r="AA36" s="487">
        <v>27</v>
      </c>
      <c r="AB36" s="487">
        <v>28</v>
      </c>
      <c r="AC36" s="487">
        <v>29</v>
      </c>
      <c r="AD36" s="487">
        <v>30</v>
      </c>
      <c r="AE36" s="487">
        <v>31</v>
      </c>
      <c r="AF36" s="487">
        <v>32</v>
      </c>
      <c r="AG36" s="487">
        <v>33</v>
      </c>
      <c r="AH36" s="487">
        <v>34</v>
      </c>
      <c r="AI36" s="487">
        <v>35</v>
      </c>
      <c r="AJ36" s="487">
        <v>36</v>
      </c>
      <c r="AK36" s="487">
        <v>37</v>
      </c>
      <c r="AL36" s="488">
        <v>38</v>
      </c>
    </row>
    <row r="37" spans="1:38" ht="15.75" thickTop="1">
      <c r="A37" s="451">
        <v>26</v>
      </c>
      <c r="B37" s="463" t="s">
        <v>27</v>
      </c>
      <c r="C37" s="453">
        <v>39</v>
      </c>
      <c r="D37" s="454">
        <v>1983</v>
      </c>
      <c r="E37" s="454" t="s">
        <v>28</v>
      </c>
      <c r="F37" s="454">
        <v>2</v>
      </c>
      <c r="G37" s="454" t="s">
        <v>38</v>
      </c>
      <c r="H37" s="455">
        <f>V37</f>
        <v>300.6</v>
      </c>
      <c r="I37" s="455">
        <v>2466</v>
      </c>
      <c r="J37" s="455">
        <f aca="true" t="shared" si="11" ref="J37:J74">K37+Q37+R37</f>
        <v>613.9</v>
      </c>
      <c r="K37" s="456">
        <f>564.3-R37</f>
        <v>564.3</v>
      </c>
      <c r="L37" s="456"/>
      <c r="M37" s="457">
        <v>0</v>
      </c>
      <c r="N37" s="458">
        <v>12</v>
      </c>
      <c r="O37" s="453">
        <v>0</v>
      </c>
      <c r="P37" s="517">
        <v>2</v>
      </c>
      <c r="Q37" s="455">
        <v>49.6</v>
      </c>
      <c r="R37" s="455">
        <f aca="true" t="shared" si="12" ref="R37:R74">SUM(S37:T37)</f>
        <v>0</v>
      </c>
      <c r="S37" s="455"/>
      <c r="T37" s="455"/>
      <c r="U37" s="455">
        <v>300.6</v>
      </c>
      <c r="V37" s="455">
        <v>300.6</v>
      </c>
      <c r="W37" s="455"/>
      <c r="X37" s="459" t="s">
        <v>30</v>
      </c>
      <c r="Y37" s="459" t="s">
        <v>31</v>
      </c>
      <c r="Z37" s="460" t="s">
        <v>32</v>
      </c>
      <c r="AA37" s="460" t="s">
        <v>32</v>
      </c>
      <c r="AB37" s="460" t="s">
        <v>32</v>
      </c>
      <c r="AC37" s="460" t="s">
        <v>52</v>
      </c>
      <c r="AD37" s="454" t="s">
        <v>33</v>
      </c>
      <c r="AE37" s="454" t="s">
        <v>34</v>
      </c>
      <c r="AF37" s="454" t="s">
        <v>35</v>
      </c>
      <c r="AG37" s="461">
        <v>349</v>
      </c>
      <c r="AH37" s="461">
        <v>96</v>
      </c>
      <c r="AI37" s="462">
        <v>7.95</v>
      </c>
      <c r="AJ37" s="463">
        <f aca="true" t="shared" si="13" ref="AJ37:AJ74">AJ$8</f>
        <v>1.02</v>
      </c>
      <c r="AK37" s="463"/>
      <c r="AL37" s="464">
        <f aca="true" t="shared" si="14" ref="AL37:AL74">SUM(AI37:AK37)</f>
        <v>8.97</v>
      </c>
    </row>
    <row r="38" spans="1:38" ht="15">
      <c r="A38" s="451">
        <v>27</v>
      </c>
      <c r="B38" s="452"/>
      <c r="C38" s="453">
        <v>40</v>
      </c>
      <c r="D38" s="454">
        <v>1985</v>
      </c>
      <c r="E38" s="454" t="s">
        <v>28</v>
      </c>
      <c r="F38" s="454">
        <v>2</v>
      </c>
      <c r="G38" s="454" t="s">
        <v>38</v>
      </c>
      <c r="H38" s="455">
        <f>V38</f>
        <v>337.4</v>
      </c>
      <c r="I38" s="455">
        <v>1054</v>
      </c>
      <c r="J38" s="455">
        <f t="shared" si="11"/>
        <v>652.7</v>
      </c>
      <c r="K38" s="456">
        <f>603.1-R38</f>
        <v>603.1</v>
      </c>
      <c r="L38" s="456"/>
      <c r="M38" s="457">
        <v>61.8</v>
      </c>
      <c r="N38" s="458">
        <v>12</v>
      </c>
      <c r="O38" s="453">
        <v>1</v>
      </c>
      <c r="P38" s="454">
        <v>2</v>
      </c>
      <c r="Q38" s="455">
        <v>49.6</v>
      </c>
      <c r="R38" s="455">
        <f t="shared" si="12"/>
        <v>0</v>
      </c>
      <c r="S38" s="455"/>
      <c r="T38" s="455"/>
      <c r="U38" s="455"/>
      <c r="V38" s="455">
        <v>337.4</v>
      </c>
      <c r="W38" s="455"/>
      <c r="X38" s="459" t="s">
        <v>30</v>
      </c>
      <c r="Y38" s="459" t="s">
        <v>31</v>
      </c>
      <c r="Z38" s="460" t="s">
        <v>32</v>
      </c>
      <c r="AA38" s="460" t="s">
        <v>32</v>
      </c>
      <c r="AB38" s="460" t="s">
        <v>32</v>
      </c>
      <c r="AC38" s="460" t="s">
        <v>52</v>
      </c>
      <c r="AD38" s="454" t="s">
        <v>33</v>
      </c>
      <c r="AE38" s="454" t="s">
        <v>34</v>
      </c>
      <c r="AF38" s="454" t="s">
        <v>35</v>
      </c>
      <c r="AG38" s="461">
        <v>349</v>
      </c>
      <c r="AH38" s="461">
        <v>96</v>
      </c>
      <c r="AI38" s="462">
        <f>AI35</f>
        <v>7.81</v>
      </c>
      <c r="AJ38" s="463">
        <f t="shared" si="13"/>
        <v>1.02</v>
      </c>
      <c r="AK38" s="463"/>
      <c r="AL38" s="464">
        <f t="shared" si="14"/>
        <v>8.83</v>
      </c>
    </row>
    <row r="39" spans="1:38" ht="15">
      <c r="A39" s="451">
        <v>28</v>
      </c>
      <c r="B39" s="452"/>
      <c r="C39" s="453">
        <v>41</v>
      </c>
      <c r="D39" s="454">
        <v>1983</v>
      </c>
      <c r="E39" s="454" t="s">
        <v>28</v>
      </c>
      <c r="F39" s="454">
        <v>2</v>
      </c>
      <c r="G39" s="454" t="s">
        <v>38</v>
      </c>
      <c r="H39" s="455">
        <f>J39*489/777.2</f>
        <v>389.400540401441</v>
      </c>
      <c r="I39" s="455">
        <f>J39*I38/J38</f>
        <v>999.4187222307338</v>
      </c>
      <c r="J39" s="455">
        <f t="shared" si="11"/>
        <v>618.9</v>
      </c>
      <c r="K39" s="456">
        <f>568.6-R39</f>
        <v>568.6</v>
      </c>
      <c r="L39" s="456"/>
      <c r="M39" s="457">
        <v>48.7</v>
      </c>
      <c r="N39" s="458">
        <v>12</v>
      </c>
      <c r="O39" s="453">
        <v>1</v>
      </c>
      <c r="P39" s="454">
        <v>2</v>
      </c>
      <c r="Q39" s="455">
        <v>50.3</v>
      </c>
      <c r="R39" s="455">
        <f t="shared" si="12"/>
        <v>0</v>
      </c>
      <c r="S39" s="455"/>
      <c r="T39" s="455"/>
      <c r="U39" s="524"/>
      <c r="V39" s="524">
        <v>850</v>
      </c>
      <c r="W39" s="524"/>
      <c r="X39" s="459" t="s">
        <v>30</v>
      </c>
      <c r="Y39" s="459" t="s">
        <v>31</v>
      </c>
      <c r="Z39" s="460" t="s">
        <v>32</v>
      </c>
      <c r="AA39" s="460" t="s">
        <v>32</v>
      </c>
      <c r="AB39" s="460" t="s">
        <v>32</v>
      </c>
      <c r="AC39" s="460" t="s">
        <v>52</v>
      </c>
      <c r="AD39" s="454" t="s">
        <v>33</v>
      </c>
      <c r="AE39" s="454" t="s">
        <v>34</v>
      </c>
      <c r="AF39" s="454" t="s">
        <v>35</v>
      </c>
      <c r="AG39" s="461">
        <v>349</v>
      </c>
      <c r="AH39" s="461">
        <v>96</v>
      </c>
      <c r="AI39" s="525">
        <f>AI38</f>
        <v>7.81</v>
      </c>
      <c r="AJ39" s="463">
        <f t="shared" si="13"/>
        <v>1.02</v>
      </c>
      <c r="AK39" s="463"/>
      <c r="AL39" s="464">
        <f t="shared" si="14"/>
        <v>8.83</v>
      </c>
    </row>
    <row r="40" spans="1:38" ht="15">
      <c r="A40" s="451">
        <v>29</v>
      </c>
      <c r="B40" s="452"/>
      <c r="C40" s="453">
        <v>42</v>
      </c>
      <c r="D40" s="454">
        <v>1985</v>
      </c>
      <c r="E40" s="454" t="s">
        <v>28</v>
      </c>
      <c r="F40" s="454">
        <v>2</v>
      </c>
      <c r="G40" s="454" t="s">
        <v>38</v>
      </c>
      <c r="H40" s="455">
        <f>V40</f>
        <v>296.59999999999997</v>
      </c>
      <c r="I40" s="455">
        <v>2674</v>
      </c>
      <c r="J40" s="455">
        <f t="shared" si="11"/>
        <v>643.1999999999999</v>
      </c>
      <c r="K40" s="456">
        <f>592.9-R40</f>
        <v>592.9</v>
      </c>
      <c r="L40" s="456"/>
      <c r="M40" s="457">
        <v>39</v>
      </c>
      <c r="N40" s="458">
        <v>12</v>
      </c>
      <c r="O40" s="453">
        <v>1</v>
      </c>
      <c r="P40" s="454">
        <v>2</v>
      </c>
      <c r="Q40" s="455">
        <v>50.3</v>
      </c>
      <c r="R40" s="455">
        <f t="shared" si="12"/>
        <v>0</v>
      </c>
      <c r="S40" s="455"/>
      <c r="T40" s="455"/>
      <c r="U40" s="455"/>
      <c r="V40" s="455">
        <f>50.6+2.9+12.1+62.2+61.7+51.7+12.1+43.3</f>
        <v>296.59999999999997</v>
      </c>
      <c r="W40" s="455"/>
      <c r="X40" s="459" t="s">
        <v>30</v>
      </c>
      <c r="Y40" s="459" t="s">
        <v>31</v>
      </c>
      <c r="Z40" s="460" t="s">
        <v>32</v>
      </c>
      <c r="AA40" s="460" t="s">
        <v>32</v>
      </c>
      <c r="AB40" s="460" t="s">
        <v>32</v>
      </c>
      <c r="AC40" s="460" t="s">
        <v>52</v>
      </c>
      <c r="AD40" s="454" t="s">
        <v>33</v>
      </c>
      <c r="AE40" s="454" t="s">
        <v>34</v>
      </c>
      <c r="AF40" s="454" t="s">
        <v>35</v>
      </c>
      <c r="AG40" s="461">
        <v>349</v>
      </c>
      <c r="AH40" s="461">
        <v>96</v>
      </c>
      <c r="AI40" s="525">
        <f>AI39</f>
        <v>7.81</v>
      </c>
      <c r="AJ40" s="463">
        <f t="shared" si="13"/>
        <v>1.02</v>
      </c>
      <c r="AK40" s="463"/>
      <c r="AL40" s="464">
        <f t="shared" si="14"/>
        <v>8.83</v>
      </c>
    </row>
    <row r="41" spans="1:38" ht="15">
      <c r="A41" s="451">
        <v>30</v>
      </c>
      <c r="B41" s="452"/>
      <c r="C41" s="453">
        <v>43</v>
      </c>
      <c r="D41" s="454">
        <v>2001</v>
      </c>
      <c r="E41" s="454" t="s">
        <v>28</v>
      </c>
      <c r="F41" s="454">
        <v>5</v>
      </c>
      <c r="G41" s="454" t="s">
        <v>40</v>
      </c>
      <c r="H41" s="455">
        <f>J41*1110/2836.5</f>
        <v>1215.1496562665257</v>
      </c>
      <c r="I41" s="455">
        <v>14665</v>
      </c>
      <c r="J41" s="455">
        <f t="shared" si="11"/>
        <v>3105.2</v>
      </c>
      <c r="K41" s="456">
        <f>2755-R41</f>
        <v>2755</v>
      </c>
      <c r="L41" s="456"/>
      <c r="M41" s="457">
        <v>0</v>
      </c>
      <c r="N41" s="458">
        <v>30</v>
      </c>
      <c r="O41" s="453">
        <v>0</v>
      </c>
      <c r="P41" s="454">
        <v>3</v>
      </c>
      <c r="Q41" s="455">
        <v>350.2</v>
      </c>
      <c r="R41" s="455">
        <f t="shared" si="12"/>
        <v>0</v>
      </c>
      <c r="S41" s="455"/>
      <c r="T41" s="455"/>
      <c r="U41" s="455"/>
      <c r="V41" s="455">
        <v>599.3</v>
      </c>
      <c r="W41" s="455"/>
      <c r="X41" s="459" t="s">
        <v>30</v>
      </c>
      <c r="Y41" s="459" t="s">
        <v>31</v>
      </c>
      <c r="Z41" s="460" t="s">
        <v>32</v>
      </c>
      <c r="AA41" s="460" t="s">
        <v>32</v>
      </c>
      <c r="AB41" s="460" t="s">
        <v>32</v>
      </c>
      <c r="AC41" s="460" t="s">
        <v>32</v>
      </c>
      <c r="AD41" s="454" t="s">
        <v>33</v>
      </c>
      <c r="AE41" s="454" t="s">
        <v>34</v>
      </c>
      <c r="AF41" s="454" t="s">
        <v>35</v>
      </c>
      <c r="AG41" s="461">
        <v>749</v>
      </c>
      <c r="AH41" s="461">
        <v>297</v>
      </c>
      <c r="AI41" s="462">
        <v>8.78</v>
      </c>
      <c r="AJ41" s="463">
        <f t="shared" si="13"/>
        <v>1.02</v>
      </c>
      <c r="AK41" s="463"/>
      <c r="AL41" s="464">
        <f t="shared" si="14"/>
        <v>9.799999999999999</v>
      </c>
    </row>
    <row r="42" spans="1:38" ht="15">
      <c r="A42" s="451">
        <v>31</v>
      </c>
      <c r="B42" s="452"/>
      <c r="C42" s="453">
        <v>44</v>
      </c>
      <c r="D42" s="454">
        <v>2001</v>
      </c>
      <c r="E42" s="454" t="s">
        <v>28</v>
      </c>
      <c r="F42" s="454">
        <v>5</v>
      </c>
      <c r="G42" s="454" t="s">
        <v>40</v>
      </c>
      <c r="H42" s="455">
        <f>J42*1110/2836.5</f>
        <v>1309.6943416181914</v>
      </c>
      <c r="I42" s="455">
        <v>14474</v>
      </c>
      <c r="J42" s="455">
        <f t="shared" si="11"/>
        <v>3346.8</v>
      </c>
      <c r="K42" s="456">
        <f>2789</f>
        <v>2789</v>
      </c>
      <c r="L42" s="456"/>
      <c r="M42" s="457">
        <v>0</v>
      </c>
      <c r="N42" s="458">
        <v>28</v>
      </c>
      <c r="O42" s="453">
        <v>0</v>
      </c>
      <c r="P42" s="454">
        <v>3</v>
      </c>
      <c r="Q42" s="455">
        <v>346.3</v>
      </c>
      <c r="R42" s="455">
        <f t="shared" si="12"/>
        <v>211.5</v>
      </c>
      <c r="S42" s="455"/>
      <c r="T42" s="455">
        <v>211.5</v>
      </c>
      <c r="U42" s="455">
        <v>211.5</v>
      </c>
      <c r="V42" s="455">
        <v>604.1</v>
      </c>
      <c r="W42" s="455"/>
      <c r="X42" s="459" t="s">
        <v>30</v>
      </c>
      <c r="Y42" s="459" t="s">
        <v>31</v>
      </c>
      <c r="Z42" s="460" t="s">
        <v>32</v>
      </c>
      <c r="AA42" s="460" t="s">
        <v>32</v>
      </c>
      <c r="AB42" s="460" t="s">
        <v>32</v>
      </c>
      <c r="AC42" s="460" t="s">
        <v>32</v>
      </c>
      <c r="AD42" s="454" t="s">
        <v>33</v>
      </c>
      <c r="AE42" s="454" t="s">
        <v>34</v>
      </c>
      <c r="AF42" s="454" t="s">
        <v>35</v>
      </c>
      <c r="AG42" s="461">
        <v>749</v>
      </c>
      <c r="AH42" s="461">
        <v>297</v>
      </c>
      <c r="AI42" s="462">
        <f>AI41</f>
        <v>8.78</v>
      </c>
      <c r="AJ42" s="463">
        <f t="shared" si="13"/>
        <v>1.02</v>
      </c>
      <c r="AK42" s="463"/>
      <c r="AL42" s="464">
        <f t="shared" si="14"/>
        <v>9.799999999999999</v>
      </c>
    </row>
    <row r="43" spans="1:38" ht="15">
      <c r="A43" s="451">
        <v>32</v>
      </c>
      <c r="B43" s="452"/>
      <c r="C43" s="453">
        <v>45</v>
      </c>
      <c r="D43" s="454">
        <v>2001</v>
      </c>
      <c r="E43" s="454" t="s">
        <v>28</v>
      </c>
      <c r="F43" s="454">
        <v>5</v>
      </c>
      <c r="G43" s="454" t="s">
        <v>40</v>
      </c>
      <c r="H43" s="455">
        <f>J43*1110/2836.5</f>
        <v>1243.3643574828134</v>
      </c>
      <c r="I43" s="455">
        <v>16928</v>
      </c>
      <c r="J43" s="455">
        <f t="shared" si="11"/>
        <v>3177.3</v>
      </c>
      <c r="K43" s="456">
        <f>2719.6</f>
        <v>2719.6</v>
      </c>
      <c r="L43" s="456"/>
      <c r="M43" s="457">
        <v>0</v>
      </c>
      <c r="N43" s="458">
        <v>29</v>
      </c>
      <c r="O43" s="453">
        <v>0</v>
      </c>
      <c r="P43" s="454">
        <v>3</v>
      </c>
      <c r="Q43" s="455">
        <v>354.8</v>
      </c>
      <c r="R43" s="455">
        <f t="shared" si="12"/>
        <v>102.9</v>
      </c>
      <c r="S43" s="455"/>
      <c r="T43" s="455">
        <v>102.9</v>
      </c>
      <c r="U43" s="455">
        <v>102.9</v>
      </c>
      <c r="V43" s="455">
        <v>613</v>
      </c>
      <c r="W43" s="455"/>
      <c r="X43" s="459" t="s">
        <v>30</v>
      </c>
      <c r="Y43" s="459" t="s">
        <v>31</v>
      </c>
      <c r="Z43" s="460" t="s">
        <v>32</v>
      </c>
      <c r="AA43" s="460" t="s">
        <v>32</v>
      </c>
      <c r="AB43" s="460" t="s">
        <v>32</v>
      </c>
      <c r="AC43" s="460" t="s">
        <v>32</v>
      </c>
      <c r="AD43" s="454" t="s">
        <v>33</v>
      </c>
      <c r="AE43" s="454" t="s">
        <v>34</v>
      </c>
      <c r="AF43" s="454" t="s">
        <v>35</v>
      </c>
      <c r="AG43" s="461">
        <v>749</v>
      </c>
      <c r="AH43" s="461">
        <v>297</v>
      </c>
      <c r="AI43" s="462">
        <f>AI42</f>
        <v>8.78</v>
      </c>
      <c r="AJ43" s="463">
        <f t="shared" si="13"/>
        <v>1.02</v>
      </c>
      <c r="AK43" s="463"/>
      <c r="AL43" s="464">
        <f t="shared" si="14"/>
        <v>9.799999999999999</v>
      </c>
    </row>
    <row r="44" spans="1:38" ht="15">
      <c r="A44" s="451">
        <v>33</v>
      </c>
      <c r="B44" s="452"/>
      <c r="C44" s="453">
        <v>46</v>
      </c>
      <c r="D44" s="454">
        <v>1996</v>
      </c>
      <c r="E44" s="454" t="s">
        <v>28</v>
      </c>
      <c r="F44" s="454">
        <v>5</v>
      </c>
      <c r="G44" s="454" t="s">
        <v>38</v>
      </c>
      <c r="H44" s="455">
        <f>V44</f>
        <v>1262</v>
      </c>
      <c r="I44" s="455">
        <f>14135+8809</f>
        <v>22944</v>
      </c>
      <c r="J44" s="455">
        <f t="shared" si="11"/>
        <v>6124.1</v>
      </c>
      <c r="K44" s="456">
        <f>5407.3-R44</f>
        <v>5407.3</v>
      </c>
      <c r="L44" s="456"/>
      <c r="M44" s="457">
        <v>689</v>
      </c>
      <c r="N44" s="458">
        <v>110</v>
      </c>
      <c r="O44" s="453">
        <v>13</v>
      </c>
      <c r="P44" s="454">
        <v>8</v>
      </c>
      <c r="Q44" s="524">
        <v>716.8</v>
      </c>
      <c r="R44" s="455">
        <f t="shared" si="12"/>
        <v>0</v>
      </c>
      <c r="S44" s="524"/>
      <c r="T44" s="524"/>
      <c r="U44" s="455">
        <f>V44+(76.6-13.9)</f>
        <v>1324.7</v>
      </c>
      <c r="V44" s="455">
        <f>767.3+494.7</f>
        <v>1262</v>
      </c>
      <c r="W44" s="455"/>
      <c r="X44" s="459" t="s">
        <v>30</v>
      </c>
      <c r="Y44" s="459" t="s">
        <v>31</v>
      </c>
      <c r="Z44" s="460" t="s">
        <v>32</v>
      </c>
      <c r="AA44" s="460" t="s">
        <v>32</v>
      </c>
      <c r="AB44" s="460" t="s">
        <v>32</v>
      </c>
      <c r="AC44" s="460" t="s">
        <v>32</v>
      </c>
      <c r="AD44" s="454" t="s">
        <v>33</v>
      </c>
      <c r="AE44" s="454" t="s">
        <v>34</v>
      </c>
      <c r="AF44" s="454" t="s">
        <v>35</v>
      </c>
      <c r="AG44" s="461">
        <v>510</v>
      </c>
      <c r="AH44" s="461">
        <v>918</v>
      </c>
      <c r="AI44" s="462">
        <v>9.01</v>
      </c>
      <c r="AJ44" s="463">
        <f t="shared" si="13"/>
        <v>1.02</v>
      </c>
      <c r="AK44" s="463"/>
      <c r="AL44" s="464">
        <f t="shared" si="14"/>
        <v>10.03</v>
      </c>
    </row>
    <row r="45" spans="1:38" ht="15.75" customHeight="1">
      <c r="A45" s="451">
        <v>34</v>
      </c>
      <c r="B45" s="452" t="s">
        <v>41</v>
      </c>
      <c r="C45" s="453">
        <v>1</v>
      </c>
      <c r="D45" s="454">
        <v>1979</v>
      </c>
      <c r="E45" s="454" t="s">
        <v>28</v>
      </c>
      <c r="F45" s="454">
        <v>5</v>
      </c>
      <c r="G45" s="454" t="s">
        <v>38</v>
      </c>
      <c r="H45" s="455">
        <f>V45</f>
        <v>380.2</v>
      </c>
      <c r="I45" s="455">
        <v>7484</v>
      </c>
      <c r="J45" s="455">
        <f t="shared" si="11"/>
        <v>1931.6000000000001</v>
      </c>
      <c r="K45" s="456">
        <f>1755.4-R45</f>
        <v>1716.1000000000001</v>
      </c>
      <c r="L45" s="456"/>
      <c r="M45" s="457">
        <v>401.3</v>
      </c>
      <c r="N45" s="458">
        <v>39</v>
      </c>
      <c r="O45" s="453">
        <v>10</v>
      </c>
      <c r="P45" s="454">
        <v>2</v>
      </c>
      <c r="Q45" s="455">
        <v>176.2</v>
      </c>
      <c r="R45" s="455">
        <f t="shared" si="12"/>
        <v>39.3</v>
      </c>
      <c r="S45" s="455"/>
      <c r="T45" s="455">
        <v>39.3</v>
      </c>
      <c r="U45" s="455"/>
      <c r="V45" s="455">
        <v>380.2</v>
      </c>
      <c r="W45" s="455"/>
      <c r="X45" s="459" t="s">
        <v>30</v>
      </c>
      <c r="Y45" s="459" t="s">
        <v>31</v>
      </c>
      <c r="Z45" s="460" t="s">
        <v>32</v>
      </c>
      <c r="AA45" s="460" t="s">
        <v>32</v>
      </c>
      <c r="AB45" s="460" t="s">
        <v>32</v>
      </c>
      <c r="AC45" s="460" t="s">
        <v>32</v>
      </c>
      <c r="AD45" s="454" t="s">
        <v>33</v>
      </c>
      <c r="AE45" s="454" t="s">
        <v>34</v>
      </c>
      <c r="AF45" s="454" t="s">
        <v>35</v>
      </c>
      <c r="AG45" s="461">
        <v>580</v>
      </c>
      <c r="AH45" s="461">
        <v>515</v>
      </c>
      <c r="AI45" s="462">
        <f>AI30</f>
        <v>8.98</v>
      </c>
      <c r="AJ45" s="463">
        <f t="shared" si="13"/>
        <v>1.02</v>
      </c>
      <c r="AK45" s="463"/>
      <c r="AL45" s="464">
        <f t="shared" si="14"/>
        <v>10</v>
      </c>
    </row>
    <row r="46" spans="1:38" ht="15">
      <c r="A46" s="451">
        <v>35</v>
      </c>
      <c r="B46" s="452"/>
      <c r="C46" s="453">
        <v>2</v>
      </c>
      <c r="D46" s="454">
        <v>1974</v>
      </c>
      <c r="E46" s="454" t="s">
        <v>42</v>
      </c>
      <c r="F46" s="454">
        <v>5</v>
      </c>
      <c r="G46" s="454" t="s">
        <v>38</v>
      </c>
      <c r="H46" s="455">
        <f>V46</f>
        <v>814.4</v>
      </c>
      <c r="I46" s="455">
        <v>15689</v>
      </c>
      <c r="J46" s="455">
        <f t="shared" si="11"/>
        <v>4436.62</v>
      </c>
      <c r="K46" s="456">
        <f>3916.02-R46</f>
        <v>3916.02</v>
      </c>
      <c r="L46" s="456"/>
      <c r="M46" s="457">
        <v>865.8</v>
      </c>
      <c r="N46" s="458">
        <v>92</v>
      </c>
      <c r="O46" s="453">
        <v>20</v>
      </c>
      <c r="P46" s="454">
        <v>6</v>
      </c>
      <c r="Q46" s="455">
        <v>520.6</v>
      </c>
      <c r="R46" s="455">
        <f t="shared" si="12"/>
        <v>0</v>
      </c>
      <c r="S46" s="455"/>
      <c r="T46" s="455"/>
      <c r="U46" s="455"/>
      <c r="V46" s="455">
        <v>814.4</v>
      </c>
      <c r="W46" s="455"/>
      <c r="X46" s="459" t="s">
        <v>30</v>
      </c>
      <c r="Y46" s="459" t="s">
        <v>31</v>
      </c>
      <c r="Z46" s="460" t="s">
        <v>32</v>
      </c>
      <c r="AA46" s="460" t="s">
        <v>32</v>
      </c>
      <c r="AB46" s="460" t="s">
        <v>32</v>
      </c>
      <c r="AC46" s="460" t="s">
        <v>32</v>
      </c>
      <c r="AD46" s="454" t="s">
        <v>33</v>
      </c>
      <c r="AE46" s="454" t="s">
        <v>34</v>
      </c>
      <c r="AF46" s="454" t="s">
        <v>35</v>
      </c>
      <c r="AG46" s="461">
        <v>985</v>
      </c>
      <c r="AH46" s="461">
        <v>534</v>
      </c>
      <c r="AI46" s="462">
        <f>AI34</f>
        <v>9.17</v>
      </c>
      <c r="AJ46" s="463">
        <f t="shared" si="13"/>
        <v>1.02</v>
      </c>
      <c r="AK46" s="463"/>
      <c r="AL46" s="464">
        <f t="shared" si="14"/>
        <v>10.19</v>
      </c>
    </row>
    <row r="47" spans="1:38" ht="15">
      <c r="A47" s="451">
        <v>36</v>
      </c>
      <c r="B47" s="452"/>
      <c r="C47" s="453">
        <v>3</v>
      </c>
      <c r="D47" s="454">
        <v>1991</v>
      </c>
      <c r="E47" s="454" t="s">
        <v>42</v>
      </c>
      <c r="F47" s="454">
        <v>5</v>
      </c>
      <c r="G47" s="454" t="s">
        <v>38</v>
      </c>
      <c r="H47" s="455">
        <f>V47</f>
        <v>819</v>
      </c>
      <c r="I47" s="455">
        <v>11875</v>
      </c>
      <c r="J47" s="455">
        <f t="shared" si="11"/>
        <v>3493.1</v>
      </c>
      <c r="K47" s="526">
        <v>3029.1</v>
      </c>
      <c r="L47" s="456"/>
      <c r="M47" s="457">
        <v>648.4</v>
      </c>
      <c r="N47" s="458">
        <v>61</v>
      </c>
      <c r="O47" s="453">
        <v>12</v>
      </c>
      <c r="P47" s="454">
        <v>4</v>
      </c>
      <c r="Q47" s="455">
        <v>464</v>
      </c>
      <c r="R47" s="455">
        <f t="shared" si="12"/>
        <v>0</v>
      </c>
      <c r="S47" s="455"/>
      <c r="T47" s="455"/>
      <c r="U47" s="455">
        <v>819</v>
      </c>
      <c r="V47" s="455">
        <v>819</v>
      </c>
      <c r="W47" s="455"/>
      <c r="X47" s="459" t="s">
        <v>30</v>
      </c>
      <c r="Y47" s="459" t="s">
        <v>37</v>
      </c>
      <c r="Z47" s="460" t="s">
        <v>32</v>
      </c>
      <c r="AA47" s="460" t="s">
        <v>32</v>
      </c>
      <c r="AB47" s="460" t="s">
        <v>32</v>
      </c>
      <c r="AC47" s="460" t="s">
        <v>32</v>
      </c>
      <c r="AD47" s="454" t="s">
        <v>33</v>
      </c>
      <c r="AE47" s="454" t="s">
        <v>34</v>
      </c>
      <c r="AF47" s="454" t="s">
        <v>35</v>
      </c>
      <c r="AG47" s="461">
        <v>1000</v>
      </c>
      <c r="AH47" s="461">
        <v>293</v>
      </c>
      <c r="AI47" s="462">
        <v>9.58</v>
      </c>
      <c r="AJ47" s="463">
        <f t="shared" si="13"/>
        <v>1.02</v>
      </c>
      <c r="AK47" s="463"/>
      <c r="AL47" s="464">
        <f t="shared" si="14"/>
        <v>10.6</v>
      </c>
    </row>
    <row r="48" spans="1:38" ht="15">
      <c r="A48" s="451">
        <v>37</v>
      </c>
      <c r="B48" s="452"/>
      <c r="C48" s="453">
        <v>4</v>
      </c>
      <c r="D48" s="454">
        <v>1992</v>
      </c>
      <c r="E48" s="454" t="s">
        <v>42</v>
      </c>
      <c r="F48" s="454">
        <v>5</v>
      </c>
      <c r="G48" s="454" t="s">
        <v>38</v>
      </c>
      <c r="H48" s="455">
        <f>V48</f>
        <v>796.1</v>
      </c>
      <c r="I48" s="455">
        <v>11106</v>
      </c>
      <c r="J48" s="455">
        <f t="shared" si="11"/>
        <v>3424.6000000000004</v>
      </c>
      <c r="K48" s="456">
        <f>2979.8-R48</f>
        <v>2979.8</v>
      </c>
      <c r="L48" s="456"/>
      <c r="M48" s="457">
        <v>266.4</v>
      </c>
      <c r="N48" s="458">
        <v>61</v>
      </c>
      <c r="O48" s="453">
        <v>5</v>
      </c>
      <c r="P48" s="454">
        <v>4</v>
      </c>
      <c r="Q48" s="455">
        <v>444.8</v>
      </c>
      <c r="R48" s="455">
        <f t="shared" si="12"/>
        <v>0</v>
      </c>
      <c r="S48" s="455"/>
      <c r="T48" s="455"/>
      <c r="U48" s="455">
        <v>796.1</v>
      </c>
      <c r="V48" s="455">
        <v>796.1</v>
      </c>
      <c r="W48" s="455"/>
      <c r="X48" s="459" t="s">
        <v>30</v>
      </c>
      <c r="Y48" s="459" t="s">
        <v>37</v>
      </c>
      <c r="Z48" s="460" t="s">
        <v>32</v>
      </c>
      <c r="AA48" s="460" t="s">
        <v>32</v>
      </c>
      <c r="AB48" s="460" t="s">
        <v>32</v>
      </c>
      <c r="AC48" s="460" t="s">
        <v>32</v>
      </c>
      <c r="AD48" s="454" t="s">
        <v>33</v>
      </c>
      <c r="AE48" s="454" t="s">
        <v>34</v>
      </c>
      <c r="AF48" s="454" t="s">
        <v>35</v>
      </c>
      <c r="AG48" s="461">
        <v>725</v>
      </c>
      <c r="AH48" s="461">
        <v>464</v>
      </c>
      <c r="AI48" s="462">
        <f>AI47</f>
        <v>9.58</v>
      </c>
      <c r="AJ48" s="463">
        <f t="shared" si="13"/>
        <v>1.02</v>
      </c>
      <c r="AK48" s="463"/>
      <c r="AL48" s="464">
        <f t="shared" si="14"/>
        <v>10.6</v>
      </c>
    </row>
    <row r="49" spans="1:38" ht="15">
      <c r="A49" s="451">
        <v>38</v>
      </c>
      <c r="B49" s="452"/>
      <c r="C49" s="453">
        <v>5</v>
      </c>
      <c r="D49" s="454">
        <v>1985</v>
      </c>
      <c r="E49" s="454" t="s">
        <v>28</v>
      </c>
      <c r="F49" s="454">
        <v>5</v>
      </c>
      <c r="G49" s="454" t="s">
        <v>38</v>
      </c>
      <c r="H49" s="455">
        <f>J49*1169.6/4500.3</f>
        <v>1216.2535333200008</v>
      </c>
      <c r="I49" s="455">
        <v>16880</v>
      </c>
      <c r="J49" s="455">
        <f t="shared" si="11"/>
        <v>4679.81</v>
      </c>
      <c r="K49" s="456">
        <f>4187.31-R49</f>
        <v>4187.31</v>
      </c>
      <c r="L49" s="456"/>
      <c r="M49" s="457">
        <v>849.6</v>
      </c>
      <c r="N49" s="458">
        <v>82</v>
      </c>
      <c r="O49" s="453">
        <v>15</v>
      </c>
      <c r="P49" s="454">
        <v>6</v>
      </c>
      <c r="Q49" s="455">
        <v>492.5</v>
      </c>
      <c r="R49" s="455">
        <f t="shared" si="12"/>
        <v>0</v>
      </c>
      <c r="S49" s="455"/>
      <c r="T49" s="455"/>
      <c r="U49" s="455">
        <v>1164</v>
      </c>
      <c r="V49" s="455"/>
      <c r="W49" s="455"/>
      <c r="X49" s="459" t="s">
        <v>30</v>
      </c>
      <c r="Y49" s="459" t="s">
        <v>37</v>
      </c>
      <c r="Z49" s="460" t="s">
        <v>32</v>
      </c>
      <c r="AA49" s="460" t="s">
        <v>32</v>
      </c>
      <c r="AB49" s="460" t="s">
        <v>32</v>
      </c>
      <c r="AC49" s="460" t="s">
        <v>32</v>
      </c>
      <c r="AD49" s="454" t="s">
        <v>33</v>
      </c>
      <c r="AE49" s="454" t="s">
        <v>34</v>
      </c>
      <c r="AF49" s="454" t="s">
        <v>35</v>
      </c>
      <c r="AG49" s="461">
        <v>882</v>
      </c>
      <c r="AH49" s="461">
        <v>613</v>
      </c>
      <c r="AI49" s="462">
        <v>9.45</v>
      </c>
      <c r="AJ49" s="463">
        <f t="shared" si="13"/>
        <v>1.02</v>
      </c>
      <c r="AK49" s="463"/>
      <c r="AL49" s="464">
        <f t="shared" si="14"/>
        <v>10.469999999999999</v>
      </c>
    </row>
    <row r="50" spans="1:38" ht="15">
      <c r="A50" s="451">
        <v>39</v>
      </c>
      <c r="B50" s="452"/>
      <c r="C50" s="453">
        <v>6</v>
      </c>
      <c r="D50" s="454">
        <v>1982</v>
      </c>
      <c r="E50" s="454" t="s">
        <v>28</v>
      </c>
      <c r="F50" s="454">
        <v>5</v>
      </c>
      <c r="G50" s="454" t="s">
        <v>38</v>
      </c>
      <c r="H50" s="455">
        <f>J50*1169.6/4500.3</f>
        <v>1219.1097660155988</v>
      </c>
      <c r="I50" s="455">
        <v>17552</v>
      </c>
      <c r="J50" s="455">
        <f t="shared" si="11"/>
        <v>4690.8</v>
      </c>
      <c r="K50" s="456">
        <f>4173.8-R50</f>
        <v>4173.8</v>
      </c>
      <c r="L50" s="456"/>
      <c r="M50" s="457">
        <v>852.3</v>
      </c>
      <c r="N50" s="458">
        <v>79</v>
      </c>
      <c r="O50" s="453">
        <v>15</v>
      </c>
      <c r="P50" s="454">
        <v>6</v>
      </c>
      <c r="Q50" s="455">
        <v>517</v>
      </c>
      <c r="R50" s="455">
        <f t="shared" si="12"/>
        <v>0</v>
      </c>
      <c r="S50" s="455"/>
      <c r="T50" s="455"/>
      <c r="U50" s="455">
        <v>1164</v>
      </c>
      <c r="V50" s="455"/>
      <c r="W50" s="455"/>
      <c r="X50" s="459" t="s">
        <v>30</v>
      </c>
      <c r="Y50" s="459" t="s">
        <v>37</v>
      </c>
      <c r="Z50" s="460" t="s">
        <v>32</v>
      </c>
      <c r="AA50" s="460" t="s">
        <v>32</v>
      </c>
      <c r="AB50" s="460" t="s">
        <v>32</v>
      </c>
      <c r="AC50" s="460" t="s">
        <v>32</v>
      </c>
      <c r="AD50" s="454" t="s">
        <v>33</v>
      </c>
      <c r="AE50" s="454" t="s">
        <v>34</v>
      </c>
      <c r="AF50" s="454" t="s">
        <v>35</v>
      </c>
      <c r="AG50" s="461">
        <v>1475</v>
      </c>
      <c r="AH50" s="461">
        <v>489</v>
      </c>
      <c r="AI50" s="462">
        <f>AI49</f>
        <v>9.45</v>
      </c>
      <c r="AJ50" s="463">
        <f t="shared" si="13"/>
        <v>1.02</v>
      </c>
      <c r="AK50" s="463"/>
      <c r="AL50" s="464">
        <f t="shared" si="14"/>
        <v>10.469999999999999</v>
      </c>
    </row>
    <row r="51" spans="1:38" ht="15">
      <c r="A51" s="451">
        <v>40</v>
      </c>
      <c r="B51" s="452"/>
      <c r="C51" s="453">
        <v>8</v>
      </c>
      <c r="D51" s="454">
        <v>1978</v>
      </c>
      <c r="E51" s="454" t="s">
        <v>28</v>
      </c>
      <c r="F51" s="454">
        <v>5</v>
      </c>
      <c r="G51" s="454" t="s">
        <v>38</v>
      </c>
      <c r="H51" s="455">
        <f>V51</f>
        <v>752.7</v>
      </c>
      <c r="I51" s="455">
        <v>13061</v>
      </c>
      <c r="J51" s="455">
        <f t="shared" si="11"/>
        <v>3714.7999999999997</v>
      </c>
      <c r="K51" s="456">
        <f>3380.6-R51</f>
        <v>3380.6</v>
      </c>
      <c r="L51" s="456"/>
      <c r="M51" s="457">
        <v>736.1</v>
      </c>
      <c r="N51" s="458">
        <v>70</v>
      </c>
      <c r="O51" s="453">
        <v>15</v>
      </c>
      <c r="P51" s="454">
        <v>4</v>
      </c>
      <c r="Q51" s="455">
        <v>334.2</v>
      </c>
      <c r="R51" s="455">
        <f t="shared" si="12"/>
        <v>0</v>
      </c>
      <c r="S51" s="455"/>
      <c r="T51" s="455"/>
      <c r="U51" s="455"/>
      <c r="V51" s="455">
        <v>752.7</v>
      </c>
      <c r="W51" s="455"/>
      <c r="X51" s="459" t="s">
        <v>30</v>
      </c>
      <c r="Y51" s="459" t="s">
        <v>31</v>
      </c>
      <c r="Z51" s="460" t="s">
        <v>32</v>
      </c>
      <c r="AA51" s="460" t="s">
        <v>32</v>
      </c>
      <c r="AB51" s="460" t="s">
        <v>32</v>
      </c>
      <c r="AC51" s="460" t="s">
        <v>32</v>
      </c>
      <c r="AD51" s="454" t="s">
        <v>33</v>
      </c>
      <c r="AE51" s="454" t="s">
        <v>34</v>
      </c>
      <c r="AF51" s="454" t="s">
        <v>35</v>
      </c>
      <c r="AG51" s="461">
        <v>703</v>
      </c>
      <c r="AH51" s="461">
        <v>1430</v>
      </c>
      <c r="AI51" s="462">
        <f>AI45</f>
        <v>8.98</v>
      </c>
      <c r="AJ51" s="463">
        <f t="shared" si="13"/>
        <v>1.02</v>
      </c>
      <c r="AK51" s="463"/>
      <c r="AL51" s="464">
        <f t="shared" si="14"/>
        <v>10</v>
      </c>
    </row>
    <row r="52" spans="1:38" ht="15">
      <c r="A52" s="451">
        <v>41</v>
      </c>
      <c r="B52" s="452"/>
      <c r="C52" s="453">
        <v>9</v>
      </c>
      <c r="D52" s="454">
        <v>1973</v>
      </c>
      <c r="E52" s="454" t="s">
        <v>42</v>
      </c>
      <c r="F52" s="454">
        <v>5</v>
      </c>
      <c r="G52" s="454" t="s">
        <v>38</v>
      </c>
      <c r="H52" s="455">
        <f>V52</f>
        <v>539.4</v>
      </c>
      <c r="I52" s="455">
        <v>10466</v>
      </c>
      <c r="J52" s="455">
        <f t="shared" si="11"/>
        <v>2952.3</v>
      </c>
      <c r="K52" s="456">
        <f>2617.5-R52</f>
        <v>2617.5</v>
      </c>
      <c r="L52" s="456"/>
      <c r="M52" s="457">
        <v>458.7</v>
      </c>
      <c r="N52" s="458">
        <v>60</v>
      </c>
      <c r="O52" s="453">
        <v>10</v>
      </c>
      <c r="P52" s="454">
        <v>4</v>
      </c>
      <c r="Q52" s="455">
        <v>334.8</v>
      </c>
      <c r="R52" s="455">
        <f t="shared" si="12"/>
        <v>0</v>
      </c>
      <c r="S52" s="455"/>
      <c r="T52" s="455"/>
      <c r="U52" s="455"/>
      <c r="V52" s="455">
        <v>539.4</v>
      </c>
      <c r="W52" s="455"/>
      <c r="X52" s="459" t="s">
        <v>30</v>
      </c>
      <c r="Y52" s="459" t="s">
        <v>31</v>
      </c>
      <c r="Z52" s="460" t="s">
        <v>32</v>
      </c>
      <c r="AA52" s="460" t="s">
        <v>32</v>
      </c>
      <c r="AB52" s="460" t="s">
        <v>32</v>
      </c>
      <c r="AC52" s="460" t="s">
        <v>32</v>
      </c>
      <c r="AD52" s="454" t="s">
        <v>33</v>
      </c>
      <c r="AE52" s="454" t="s">
        <v>34</v>
      </c>
      <c r="AF52" s="454" t="s">
        <v>35</v>
      </c>
      <c r="AG52" s="461">
        <v>878</v>
      </c>
      <c r="AH52" s="461">
        <v>564</v>
      </c>
      <c r="AI52" s="462">
        <f>AI46</f>
        <v>9.17</v>
      </c>
      <c r="AJ52" s="463">
        <f t="shared" si="13"/>
        <v>1.02</v>
      </c>
      <c r="AK52" s="463"/>
      <c r="AL52" s="464">
        <f t="shared" si="14"/>
        <v>10.19</v>
      </c>
    </row>
    <row r="53" spans="1:38" ht="15">
      <c r="A53" s="451">
        <v>42</v>
      </c>
      <c r="B53" s="463" t="s">
        <v>43</v>
      </c>
      <c r="C53" s="453">
        <v>1</v>
      </c>
      <c r="D53" s="454">
        <v>1960</v>
      </c>
      <c r="E53" s="454" t="s">
        <v>28</v>
      </c>
      <c r="F53" s="517">
        <v>2</v>
      </c>
      <c r="G53" s="454" t="s">
        <v>29</v>
      </c>
      <c r="H53" s="455">
        <f>J53*288/342.6</f>
        <v>560.6164623467599</v>
      </c>
      <c r="I53" s="455">
        <f>J53*I56/J56</f>
        <v>2733.8879576532863</v>
      </c>
      <c r="J53" s="455">
        <f t="shared" si="11"/>
        <v>666.9</v>
      </c>
      <c r="K53" s="456">
        <v>631.1</v>
      </c>
      <c r="L53" s="456"/>
      <c r="M53" s="457">
        <v>84.7</v>
      </c>
      <c r="N53" s="458">
        <v>16</v>
      </c>
      <c r="O53" s="458">
        <v>2</v>
      </c>
      <c r="P53" s="454">
        <v>2</v>
      </c>
      <c r="Q53" s="455">
        <v>35.8</v>
      </c>
      <c r="R53" s="455">
        <f t="shared" si="12"/>
        <v>0</v>
      </c>
      <c r="S53" s="455"/>
      <c r="T53" s="455"/>
      <c r="U53" s="524">
        <v>720</v>
      </c>
      <c r="V53" s="524">
        <v>720</v>
      </c>
      <c r="W53" s="524"/>
      <c r="X53" s="459" t="s">
        <v>30</v>
      </c>
      <c r="Y53" s="459" t="s">
        <v>31</v>
      </c>
      <c r="Z53" s="460" t="s">
        <v>32</v>
      </c>
      <c r="AA53" s="460" t="s">
        <v>32</v>
      </c>
      <c r="AB53" s="460" t="s">
        <v>32</v>
      </c>
      <c r="AC53" s="460" t="s">
        <v>52</v>
      </c>
      <c r="AD53" s="454" t="s">
        <v>33</v>
      </c>
      <c r="AE53" s="454" t="s">
        <v>34</v>
      </c>
      <c r="AF53" s="454" t="s">
        <v>35</v>
      </c>
      <c r="AG53" s="461">
        <v>276</v>
      </c>
      <c r="AH53" s="461">
        <v>257</v>
      </c>
      <c r="AI53" s="462">
        <v>8.14</v>
      </c>
      <c r="AJ53" s="463">
        <f t="shared" si="13"/>
        <v>1.02</v>
      </c>
      <c r="AK53" s="463"/>
      <c r="AL53" s="464">
        <f t="shared" si="14"/>
        <v>9.16</v>
      </c>
    </row>
    <row r="54" spans="1:38" ht="15">
      <c r="A54" s="451">
        <v>43</v>
      </c>
      <c r="B54" s="452"/>
      <c r="C54" s="453">
        <v>2</v>
      </c>
      <c r="D54" s="454">
        <v>1958</v>
      </c>
      <c r="E54" s="454" t="s">
        <v>28</v>
      </c>
      <c r="F54" s="454">
        <v>2</v>
      </c>
      <c r="G54" s="454" t="s">
        <v>29</v>
      </c>
      <c r="H54" s="455">
        <f>J54*288/342.6</f>
        <v>562.1295971978984</v>
      </c>
      <c r="I54" s="455">
        <f>J54*I53/J53</f>
        <v>2741.2668725187477</v>
      </c>
      <c r="J54" s="455">
        <f t="shared" si="11"/>
        <v>668.7</v>
      </c>
      <c r="K54" s="456">
        <v>617.7</v>
      </c>
      <c r="L54" s="456"/>
      <c r="M54" s="457">
        <v>80.7</v>
      </c>
      <c r="N54" s="458">
        <v>16</v>
      </c>
      <c r="O54" s="453">
        <v>2</v>
      </c>
      <c r="P54" s="454">
        <v>2</v>
      </c>
      <c r="Q54" s="455">
        <v>51</v>
      </c>
      <c r="R54" s="455">
        <f t="shared" si="12"/>
        <v>0</v>
      </c>
      <c r="S54" s="455"/>
      <c r="T54" s="455"/>
      <c r="U54" s="524">
        <v>740</v>
      </c>
      <c r="V54" s="524">
        <v>740</v>
      </c>
      <c r="W54" s="524"/>
      <c r="X54" s="459" t="s">
        <v>30</v>
      </c>
      <c r="Y54" s="459" t="s">
        <v>31</v>
      </c>
      <c r="Z54" s="460" t="s">
        <v>32</v>
      </c>
      <c r="AA54" s="460" t="s">
        <v>32</v>
      </c>
      <c r="AB54" s="460" t="s">
        <v>32</v>
      </c>
      <c r="AC54" s="460" t="s">
        <v>52</v>
      </c>
      <c r="AD54" s="454" t="s">
        <v>33</v>
      </c>
      <c r="AE54" s="454" t="s">
        <v>34</v>
      </c>
      <c r="AF54" s="454" t="s">
        <v>35</v>
      </c>
      <c r="AG54" s="461">
        <v>276</v>
      </c>
      <c r="AH54" s="461">
        <v>257</v>
      </c>
      <c r="AI54" s="462">
        <f>AI53</f>
        <v>8.14</v>
      </c>
      <c r="AJ54" s="463">
        <f t="shared" si="13"/>
        <v>1.02</v>
      </c>
      <c r="AK54" s="463"/>
      <c r="AL54" s="464">
        <f t="shared" si="14"/>
        <v>9.16</v>
      </c>
    </row>
    <row r="55" spans="1:38" ht="15">
      <c r="A55" s="451">
        <v>44</v>
      </c>
      <c r="B55" s="452"/>
      <c r="C55" s="453">
        <v>3</v>
      </c>
      <c r="D55" s="454">
        <v>1969</v>
      </c>
      <c r="E55" s="454" t="s">
        <v>28</v>
      </c>
      <c r="F55" s="454">
        <v>4</v>
      </c>
      <c r="G55" s="454" t="s">
        <v>29</v>
      </c>
      <c r="H55" s="455">
        <f>35.1*12.8*1.3</f>
        <v>584.0640000000001</v>
      </c>
      <c r="I55" s="455">
        <v>4242</v>
      </c>
      <c r="J55" s="455">
        <f t="shared" si="11"/>
        <v>1394.8</v>
      </c>
      <c r="K55" s="456">
        <f>1285.7-R55</f>
        <v>1213</v>
      </c>
      <c r="L55" s="456"/>
      <c r="M55" s="457">
        <v>229.7</v>
      </c>
      <c r="N55" s="458">
        <v>30</v>
      </c>
      <c r="O55" s="453">
        <v>5</v>
      </c>
      <c r="P55" s="454">
        <v>2</v>
      </c>
      <c r="Q55" s="455">
        <v>109.1</v>
      </c>
      <c r="R55" s="455">
        <f t="shared" si="12"/>
        <v>72.7</v>
      </c>
      <c r="S55" s="455">
        <v>72.7</v>
      </c>
      <c r="T55" s="455"/>
      <c r="U55" s="455"/>
      <c r="V55" s="455">
        <v>266.2</v>
      </c>
      <c r="W55" s="455"/>
      <c r="X55" s="459" t="s">
        <v>30</v>
      </c>
      <c r="Y55" s="459" t="s">
        <v>31</v>
      </c>
      <c r="Z55" s="460" t="s">
        <v>32</v>
      </c>
      <c r="AA55" s="460" t="s">
        <v>32</v>
      </c>
      <c r="AB55" s="460" t="s">
        <v>32</v>
      </c>
      <c r="AC55" s="460" t="s">
        <v>32</v>
      </c>
      <c r="AD55" s="454" t="s">
        <v>33</v>
      </c>
      <c r="AE55" s="454" t="s">
        <v>34</v>
      </c>
      <c r="AF55" s="454" t="s">
        <v>35</v>
      </c>
      <c r="AG55" s="461">
        <v>276</v>
      </c>
      <c r="AH55" s="461">
        <v>257</v>
      </c>
      <c r="AI55" s="462">
        <v>10.77</v>
      </c>
      <c r="AJ55" s="463">
        <f t="shared" si="13"/>
        <v>1.02</v>
      </c>
      <c r="AK55" s="463"/>
      <c r="AL55" s="464">
        <f t="shared" si="14"/>
        <v>11.79</v>
      </c>
    </row>
    <row r="56" spans="1:38" ht="15">
      <c r="A56" s="451">
        <v>45</v>
      </c>
      <c r="B56" s="452"/>
      <c r="C56" s="453">
        <v>4</v>
      </c>
      <c r="D56" s="454">
        <v>1960</v>
      </c>
      <c r="E56" s="454" t="s">
        <v>28</v>
      </c>
      <c r="F56" s="454">
        <v>2</v>
      </c>
      <c r="G56" s="454" t="s">
        <v>29</v>
      </c>
      <c r="H56" s="455">
        <f>J56*288/342.6</f>
        <v>571.7127845884413</v>
      </c>
      <c r="I56" s="455">
        <v>2788</v>
      </c>
      <c r="J56" s="455">
        <f t="shared" si="11"/>
        <v>680.1</v>
      </c>
      <c r="K56" s="456">
        <v>631.1</v>
      </c>
      <c r="L56" s="456"/>
      <c r="M56" s="457">
        <v>0</v>
      </c>
      <c r="N56" s="458">
        <v>16</v>
      </c>
      <c r="O56" s="453">
        <v>0</v>
      </c>
      <c r="P56" s="454">
        <v>2</v>
      </c>
      <c r="Q56" s="455">
        <v>49</v>
      </c>
      <c r="R56" s="455">
        <f t="shared" si="12"/>
        <v>0</v>
      </c>
      <c r="S56" s="455"/>
      <c r="T56" s="455"/>
      <c r="U56" s="455"/>
      <c r="V56" s="455">
        <v>56.6</v>
      </c>
      <c r="W56" s="455"/>
      <c r="X56" s="459" t="s">
        <v>30</v>
      </c>
      <c r="Y56" s="459" t="s">
        <v>31</v>
      </c>
      <c r="Z56" s="460" t="s">
        <v>32</v>
      </c>
      <c r="AA56" s="460" t="s">
        <v>32</v>
      </c>
      <c r="AB56" s="460" t="s">
        <v>32</v>
      </c>
      <c r="AC56" s="460" t="s">
        <v>52</v>
      </c>
      <c r="AD56" s="454" t="s">
        <v>33</v>
      </c>
      <c r="AE56" s="454" t="s">
        <v>34</v>
      </c>
      <c r="AF56" s="454" t="s">
        <v>35</v>
      </c>
      <c r="AG56" s="461">
        <v>276</v>
      </c>
      <c r="AH56" s="461">
        <v>257</v>
      </c>
      <c r="AI56" s="462">
        <v>8</v>
      </c>
      <c r="AJ56" s="463">
        <f t="shared" si="13"/>
        <v>1.02</v>
      </c>
      <c r="AK56" s="463"/>
      <c r="AL56" s="464">
        <f t="shared" si="14"/>
        <v>9.02</v>
      </c>
    </row>
    <row r="57" spans="1:38" ht="15">
      <c r="A57" s="451">
        <v>46</v>
      </c>
      <c r="B57" s="452"/>
      <c r="C57" s="453">
        <v>5</v>
      </c>
      <c r="D57" s="454">
        <v>1960</v>
      </c>
      <c r="E57" s="454" t="s">
        <v>28</v>
      </c>
      <c r="F57" s="454">
        <v>2</v>
      </c>
      <c r="G57" s="454" t="s">
        <v>29</v>
      </c>
      <c r="H57" s="455">
        <f>J57*288/342.6</f>
        <v>570.4518388791594</v>
      </c>
      <c r="I57" s="455">
        <v>2563</v>
      </c>
      <c r="J57" s="455">
        <f t="shared" si="11"/>
        <v>678.6</v>
      </c>
      <c r="K57" s="456">
        <v>621.7</v>
      </c>
      <c r="L57" s="456"/>
      <c r="M57" s="457">
        <v>167</v>
      </c>
      <c r="N57" s="458">
        <v>16</v>
      </c>
      <c r="O57" s="453">
        <v>4</v>
      </c>
      <c r="P57" s="454">
        <v>2</v>
      </c>
      <c r="Q57" s="455">
        <v>56.9</v>
      </c>
      <c r="R57" s="455">
        <f t="shared" si="12"/>
        <v>0</v>
      </c>
      <c r="S57" s="455"/>
      <c r="T57" s="455"/>
      <c r="U57" s="455"/>
      <c r="V57" s="455">
        <v>56.9</v>
      </c>
      <c r="W57" s="455"/>
      <c r="X57" s="459" t="s">
        <v>30</v>
      </c>
      <c r="Y57" s="459" t="s">
        <v>31</v>
      </c>
      <c r="Z57" s="460" t="s">
        <v>32</v>
      </c>
      <c r="AA57" s="460" t="s">
        <v>32</v>
      </c>
      <c r="AB57" s="460" t="s">
        <v>32</v>
      </c>
      <c r="AC57" s="460" t="s">
        <v>52</v>
      </c>
      <c r="AD57" s="454" t="s">
        <v>33</v>
      </c>
      <c r="AE57" s="454" t="s">
        <v>34</v>
      </c>
      <c r="AF57" s="454" t="s">
        <v>35</v>
      </c>
      <c r="AG57" s="461">
        <v>276</v>
      </c>
      <c r="AH57" s="461">
        <v>257</v>
      </c>
      <c r="AI57" s="462">
        <f>AI56</f>
        <v>8</v>
      </c>
      <c r="AJ57" s="463">
        <f t="shared" si="13"/>
        <v>1.02</v>
      </c>
      <c r="AK57" s="463"/>
      <c r="AL57" s="464">
        <f t="shared" si="14"/>
        <v>9.02</v>
      </c>
    </row>
    <row r="58" spans="1:38" ht="15">
      <c r="A58" s="451">
        <v>47</v>
      </c>
      <c r="B58" s="452"/>
      <c r="C58" s="453">
        <v>6</v>
      </c>
      <c r="D58" s="454">
        <v>1960</v>
      </c>
      <c r="E58" s="454" t="s">
        <v>28</v>
      </c>
      <c r="F58" s="454">
        <v>2</v>
      </c>
      <c r="G58" s="454" t="s">
        <v>29</v>
      </c>
      <c r="H58" s="455">
        <f>J58*288/342.6</f>
        <v>561.3730297723292</v>
      </c>
      <c r="I58" s="455">
        <v>2812</v>
      </c>
      <c r="J58" s="455">
        <f t="shared" si="11"/>
        <v>667.8000000000001</v>
      </c>
      <c r="K58" s="456">
        <v>622.2</v>
      </c>
      <c r="L58" s="456"/>
      <c r="M58" s="457">
        <v>87.7</v>
      </c>
      <c r="N58" s="458">
        <v>16</v>
      </c>
      <c r="O58" s="453">
        <v>2</v>
      </c>
      <c r="P58" s="454">
        <v>2</v>
      </c>
      <c r="Q58" s="455">
        <v>45.6</v>
      </c>
      <c r="R58" s="455">
        <f t="shared" si="12"/>
        <v>0</v>
      </c>
      <c r="S58" s="455"/>
      <c r="T58" s="455"/>
      <c r="U58" s="455"/>
      <c r="V58" s="455"/>
      <c r="W58" s="455"/>
      <c r="X58" s="459" t="s">
        <v>30</v>
      </c>
      <c r="Y58" s="459" t="s">
        <v>31</v>
      </c>
      <c r="Z58" s="460" t="s">
        <v>32</v>
      </c>
      <c r="AA58" s="460" t="s">
        <v>32</v>
      </c>
      <c r="AB58" s="460" t="s">
        <v>32</v>
      </c>
      <c r="AC58" s="460" t="s">
        <v>52</v>
      </c>
      <c r="AD58" s="454" t="s">
        <v>33</v>
      </c>
      <c r="AE58" s="454" t="s">
        <v>34</v>
      </c>
      <c r="AF58" s="454" t="s">
        <v>35</v>
      </c>
      <c r="AG58" s="461">
        <v>365</v>
      </c>
      <c r="AH58" s="461">
        <v>240</v>
      </c>
      <c r="AI58" s="462">
        <v>7.71</v>
      </c>
      <c r="AJ58" s="463">
        <f t="shared" si="13"/>
        <v>1.02</v>
      </c>
      <c r="AK58" s="463"/>
      <c r="AL58" s="464">
        <f t="shared" si="14"/>
        <v>8.73</v>
      </c>
    </row>
    <row r="59" spans="1:38" ht="15">
      <c r="A59" s="451">
        <v>48</v>
      </c>
      <c r="B59" s="452"/>
      <c r="C59" s="453">
        <v>7</v>
      </c>
      <c r="D59" s="454">
        <v>1960</v>
      </c>
      <c r="E59" s="454" t="s">
        <v>28</v>
      </c>
      <c r="F59" s="454">
        <v>2</v>
      </c>
      <c r="G59" s="454" t="s">
        <v>29</v>
      </c>
      <c r="H59" s="455">
        <f>J59*288/342.6</f>
        <v>556.0770577933449</v>
      </c>
      <c r="I59" s="455">
        <v>2740</v>
      </c>
      <c r="J59" s="455">
        <f t="shared" si="11"/>
        <v>661.5</v>
      </c>
      <c r="K59" s="456">
        <v>610.9</v>
      </c>
      <c r="L59" s="456"/>
      <c r="M59" s="457">
        <v>43.2</v>
      </c>
      <c r="N59" s="458">
        <v>16</v>
      </c>
      <c r="O59" s="453">
        <v>1</v>
      </c>
      <c r="P59" s="454">
        <v>2</v>
      </c>
      <c r="Q59" s="455">
        <v>50.6</v>
      </c>
      <c r="R59" s="455">
        <f t="shared" si="12"/>
        <v>0</v>
      </c>
      <c r="S59" s="455"/>
      <c r="T59" s="455"/>
      <c r="U59" s="455"/>
      <c r="V59" s="455">
        <v>47.8</v>
      </c>
      <c r="W59" s="455"/>
      <c r="X59" s="459" t="s">
        <v>30</v>
      </c>
      <c r="Y59" s="459" t="s">
        <v>31</v>
      </c>
      <c r="Z59" s="460" t="s">
        <v>32</v>
      </c>
      <c r="AA59" s="460" t="s">
        <v>32</v>
      </c>
      <c r="AB59" s="460" t="s">
        <v>32</v>
      </c>
      <c r="AC59" s="460" t="s">
        <v>52</v>
      </c>
      <c r="AD59" s="454" t="s">
        <v>33</v>
      </c>
      <c r="AE59" s="454" t="s">
        <v>34</v>
      </c>
      <c r="AF59" s="454" t="s">
        <v>35</v>
      </c>
      <c r="AG59" s="461">
        <v>365</v>
      </c>
      <c r="AH59" s="461">
        <v>240</v>
      </c>
      <c r="AI59" s="462">
        <f>AI57</f>
        <v>8</v>
      </c>
      <c r="AJ59" s="463">
        <f t="shared" si="13"/>
        <v>1.02</v>
      </c>
      <c r="AK59" s="463"/>
      <c r="AL59" s="464">
        <f t="shared" si="14"/>
        <v>9.02</v>
      </c>
    </row>
    <row r="60" spans="1:38" ht="15">
      <c r="A60" s="451">
        <v>49</v>
      </c>
      <c r="B60" s="452"/>
      <c r="C60" s="453">
        <v>8</v>
      </c>
      <c r="D60" s="454">
        <v>1960</v>
      </c>
      <c r="E60" s="454" t="s">
        <v>28</v>
      </c>
      <c r="F60" s="454">
        <v>2</v>
      </c>
      <c r="G60" s="454" t="s">
        <v>29</v>
      </c>
      <c r="H60" s="455">
        <f>12.63*34.48*1.3</f>
        <v>566.12712</v>
      </c>
      <c r="I60" s="455">
        <v>3310</v>
      </c>
      <c r="J60" s="455">
        <f t="shared" si="11"/>
        <v>667.5</v>
      </c>
      <c r="K60" s="456">
        <v>617.3</v>
      </c>
      <c r="L60" s="456"/>
      <c r="M60" s="457">
        <v>0</v>
      </c>
      <c r="N60" s="458">
        <v>16</v>
      </c>
      <c r="O60" s="453">
        <v>0</v>
      </c>
      <c r="P60" s="454">
        <v>2</v>
      </c>
      <c r="Q60" s="455">
        <v>50.2</v>
      </c>
      <c r="R60" s="455">
        <f t="shared" si="12"/>
        <v>0</v>
      </c>
      <c r="S60" s="455"/>
      <c r="T60" s="455"/>
      <c r="U60" s="455"/>
      <c r="V60" s="455">
        <v>348.7</v>
      </c>
      <c r="W60" s="455"/>
      <c r="X60" s="459" t="s">
        <v>30</v>
      </c>
      <c r="Y60" s="459" t="s">
        <v>31</v>
      </c>
      <c r="Z60" s="460" t="s">
        <v>32</v>
      </c>
      <c r="AA60" s="460" t="s">
        <v>32</v>
      </c>
      <c r="AB60" s="460" t="s">
        <v>32</v>
      </c>
      <c r="AC60" s="460" t="s">
        <v>52</v>
      </c>
      <c r="AD60" s="454" t="s">
        <v>33</v>
      </c>
      <c r="AE60" s="454" t="s">
        <v>34</v>
      </c>
      <c r="AF60" s="454" t="s">
        <v>35</v>
      </c>
      <c r="AG60" s="461">
        <v>365</v>
      </c>
      <c r="AH60" s="461">
        <v>240</v>
      </c>
      <c r="AI60" s="462">
        <f>AI59</f>
        <v>8</v>
      </c>
      <c r="AJ60" s="463">
        <f t="shared" si="13"/>
        <v>1.02</v>
      </c>
      <c r="AK60" s="463"/>
      <c r="AL60" s="464">
        <f t="shared" si="14"/>
        <v>9.02</v>
      </c>
    </row>
    <row r="61" spans="1:38" ht="15">
      <c r="A61" s="451">
        <v>50</v>
      </c>
      <c r="B61" s="452"/>
      <c r="C61" s="453">
        <v>9</v>
      </c>
      <c r="D61" s="454">
        <v>1983</v>
      </c>
      <c r="E61" s="454" t="s">
        <v>28</v>
      </c>
      <c r="F61" s="454">
        <v>2</v>
      </c>
      <c r="G61" s="454" t="s">
        <v>38</v>
      </c>
      <c r="H61" s="455">
        <f>J61*288/342.6</f>
        <v>523.5446584938704</v>
      </c>
      <c r="I61" s="455">
        <f>J61*I62/J62</f>
        <v>3088.341573033708</v>
      </c>
      <c r="J61" s="455">
        <f t="shared" si="11"/>
        <v>622.8000000000001</v>
      </c>
      <c r="K61" s="456">
        <v>571.1</v>
      </c>
      <c r="L61" s="456"/>
      <c r="M61" s="457">
        <v>60</v>
      </c>
      <c r="N61" s="458">
        <v>12</v>
      </c>
      <c r="O61" s="453">
        <v>1</v>
      </c>
      <c r="P61" s="454">
        <v>2</v>
      </c>
      <c r="Q61" s="455">
        <v>51.7</v>
      </c>
      <c r="R61" s="455">
        <f t="shared" si="12"/>
        <v>0</v>
      </c>
      <c r="S61" s="455"/>
      <c r="T61" s="455"/>
      <c r="U61" s="524">
        <v>550</v>
      </c>
      <c r="V61" s="524">
        <v>550</v>
      </c>
      <c r="W61" s="524"/>
      <c r="X61" s="459" t="s">
        <v>30</v>
      </c>
      <c r="Y61" s="459" t="s">
        <v>31</v>
      </c>
      <c r="Z61" s="460" t="s">
        <v>32</v>
      </c>
      <c r="AA61" s="460" t="s">
        <v>32</v>
      </c>
      <c r="AB61" s="460" t="s">
        <v>32</v>
      </c>
      <c r="AC61" s="460" t="s">
        <v>52</v>
      </c>
      <c r="AD61" s="454" t="s">
        <v>33</v>
      </c>
      <c r="AE61" s="454" t="s">
        <v>34</v>
      </c>
      <c r="AF61" s="454" t="s">
        <v>35</v>
      </c>
      <c r="AG61" s="461">
        <v>365</v>
      </c>
      <c r="AH61" s="461">
        <v>240</v>
      </c>
      <c r="AI61" s="462">
        <v>7.95</v>
      </c>
      <c r="AJ61" s="463">
        <f t="shared" si="13"/>
        <v>1.02</v>
      </c>
      <c r="AK61" s="463"/>
      <c r="AL61" s="464">
        <f t="shared" si="14"/>
        <v>8.97</v>
      </c>
    </row>
    <row r="62" spans="1:38" ht="15">
      <c r="A62" s="451">
        <v>51</v>
      </c>
      <c r="B62" s="452"/>
      <c r="C62" s="453">
        <v>10</v>
      </c>
      <c r="D62" s="454">
        <v>1978</v>
      </c>
      <c r="E62" s="454" t="s">
        <v>28</v>
      </c>
      <c r="F62" s="454">
        <v>2</v>
      </c>
      <c r="G62" s="454" t="s">
        <v>29</v>
      </c>
      <c r="H62" s="455">
        <f>J62*288/342.6</f>
        <v>659.4746059544658</v>
      </c>
      <c r="I62" s="455">
        <f>J62*I60/J60</f>
        <v>3890.179775280899</v>
      </c>
      <c r="J62" s="455">
        <f t="shared" si="11"/>
        <v>784.5</v>
      </c>
      <c r="K62" s="456">
        <v>728.1</v>
      </c>
      <c r="L62" s="456"/>
      <c r="M62" s="457">
        <v>0</v>
      </c>
      <c r="N62" s="458">
        <v>16</v>
      </c>
      <c r="O62" s="453">
        <v>0</v>
      </c>
      <c r="P62" s="453">
        <v>2</v>
      </c>
      <c r="Q62" s="455">
        <v>56.4</v>
      </c>
      <c r="R62" s="455">
        <f t="shared" si="12"/>
        <v>0</v>
      </c>
      <c r="S62" s="455"/>
      <c r="T62" s="455"/>
      <c r="U62" s="455"/>
      <c r="V62" s="455">
        <v>650</v>
      </c>
      <c r="W62" s="455"/>
      <c r="X62" s="459" t="s">
        <v>30</v>
      </c>
      <c r="Y62" s="459" t="s">
        <v>31</v>
      </c>
      <c r="Z62" s="460" t="s">
        <v>32</v>
      </c>
      <c r="AA62" s="460" t="s">
        <v>32</v>
      </c>
      <c r="AB62" s="460" t="s">
        <v>32</v>
      </c>
      <c r="AC62" s="460" t="s">
        <v>52</v>
      </c>
      <c r="AD62" s="454" t="s">
        <v>33</v>
      </c>
      <c r="AE62" s="454" t="s">
        <v>34</v>
      </c>
      <c r="AF62" s="454" t="s">
        <v>35</v>
      </c>
      <c r="AG62" s="461">
        <v>365</v>
      </c>
      <c r="AH62" s="461">
        <v>240</v>
      </c>
      <c r="AI62" s="462">
        <f>AI40</f>
        <v>7.81</v>
      </c>
      <c r="AJ62" s="463">
        <f t="shared" si="13"/>
        <v>1.02</v>
      </c>
      <c r="AK62" s="463"/>
      <c r="AL62" s="464">
        <f t="shared" si="14"/>
        <v>8.83</v>
      </c>
    </row>
    <row r="63" spans="1:38" ht="15">
      <c r="A63" s="451">
        <v>52</v>
      </c>
      <c r="B63" s="452" t="s">
        <v>44</v>
      </c>
      <c r="C63" s="453">
        <v>1</v>
      </c>
      <c r="D63" s="454">
        <v>1989</v>
      </c>
      <c r="E63" s="454" t="s">
        <v>28</v>
      </c>
      <c r="F63" s="454">
        <v>4</v>
      </c>
      <c r="G63" s="454" t="s">
        <v>29</v>
      </c>
      <c r="H63" s="455">
        <f>J63*1044/2801.6</f>
        <v>368.2097372929755</v>
      </c>
      <c r="I63" s="455">
        <v>4084</v>
      </c>
      <c r="J63" s="455">
        <f t="shared" si="11"/>
        <v>988.1</v>
      </c>
      <c r="K63" s="456">
        <v>880</v>
      </c>
      <c r="L63" s="456"/>
      <c r="M63" s="457">
        <v>180.7</v>
      </c>
      <c r="N63" s="458">
        <v>16</v>
      </c>
      <c r="O63" s="453">
        <v>3</v>
      </c>
      <c r="P63" s="453">
        <v>1</v>
      </c>
      <c r="Q63" s="455">
        <v>108.1</v>
      </c>
      <c r="R63" s="455">
        <f t="shared" si="12"/>
        <v>0</v>
      </c>
      <c r="S63" s="455"/>
      <c r="T63" s="455"/>
      <c r="U63" s="455">
        <v>225.3</v>
      </c>
      <c r="V63" s="455">
        <v>225.3</v>
      </c>
      <c r="W63" s="455"/>
      <c r="X63" s="459" t="s">
        <v>30</v>
      </c>
      <c r="Y63" s="459" t="s">
        <v>31</v>
      </c>
      <c r="Z63" s="460" t="s">
        <v>32</v>
      </c>
      <c r="AA63" s="460" t="s">
        <v>32</v>
      </c>
      <c r="AB63" s="460" t="s">
        <v>32</v>
      </c>
      <c r="AC63" s="460" t="s">
        <v>52</v>
      </c>
      <c r="AD63" s="454" t="s">
        <v>33</v>
      </c>
      <c r="AE63" s="454" t="s">
        <v>34</v>
      </c>
      <c r="AF63" s="454" t="s">
        <v>35</v>
      </c>
      <c r="AG63" s="461">
        <v>547</v>
      </c>
      <c r="AH63" s="461">
        <v>250</v>
      </c>
      <c r="AI63" s="462">
        <v>10.78</v>
      </c>
      <c r="AJ63" s="463">
        <f t="shared" si="13"/>
        <v>1.02</v>
      </c>
      <c r="AK63" s="463"/>
      <c r="AL63" s="464">
        <f t="shared" si="14"/>
        <v>11.799999999999999</v>
      </c>
    </row>
    <row r="64" spans="1:38" ht="15">
      <c r="A64" s="451">
        <v>53</v>
      </c>
      <c r="B64" s="452"/>
      <c r="C64" s="453">
        <v>2</v>
      </c>
      <c r="D64" s="454">
        <v>1989</v>
      </c>
      <c r="E64" s="454" t="s">
        <v>28</v>
      </c>
      <c r="F64" s="454">
        <v>4</v>
      </c>
      <c r="G64" s="454" t="s">
        <v>29</v>
      </c>
      <c r="H64" s="455">
        <f>J64*1044/2801.6</f>
        <v>379.8735008566534</v>
      </c>
      <c r="I64" s="455">
        <v>4084</v>
      </c>
      <c r="J64" s="455">
        <f t="shared" si="11"/>
        <v>1019.4000000000001</v>
      </c>
      <c r="K64" s="456">
        <v>905.2</v>
      </c>
      <c r="L64" s="456"/>
      <c r="M64" s="457">
        <v>62.1</v>
      </c>
      <c r="N64" s="458">
        <v>16</v>
      </c>
      <c r="O64" s="453">
        <v>1</v>
      </c>
      <c r="P64" s="453">
        <v>1</v>
      </c>
      <c r="Q64" s="455">
        <v>114.2</v>
      </c>
      <c r="R64" s="455">
        <f t="shared" si="12"/>
        <v>0</v>
      </c>
      <c r="S64" s="455"/>
      <c r="T64" s="455"/>
      <c r="U64" s="455">
        <v>225.3</v>
      </c>
      <c r="V64" s="455">
        <v>225.3</v>
      </c>
      <c r="W64" s="455"/>
      <c r="X64" s="459" t="s">
        <v>30</v>
      </c>
      <c r="Y64" s="459" t="s">
        <v>31</v>
      </c>
      <c r="Z64" s="460" t="s">
        <v>32</v>
      </c>
      <c r="AA64" s="460" t="s">
        <v>32</v>
      </c>
      <c r="AB64" s="460" t="s">
        <v>32</v>
      </c>
      <c r="AC64" s="460" t="s">
        <v>52</v>
      </c>
      <c r="AD64" s="454" t="s">
        <v>33</v>
      </c>
      <c r="AE64" s="454" t="s">
        <v>34</v>
      </c>
      <c r="AF64" s="454" t="s">
        <v>35</v>
      </c>
      <c r="AG64" s="461">
        <v>547</v>
      </c>
      <c r="AH64" s="461">
        <v>250</v>
      </c>
      <c r="AI64" s="462">
        <f>AI63</f>
        <v>10.78</v>
      </c>
      <c r="AJ64" s="463">
        <f t="shared" si="13"/>
        <v>1.02</v>
      </c>
      <c r="AK64" s="463"/>
      <c r="AL64" s="464">
        <f t="shared" si="14"/>
        <v>11.799999999999999</v>
      </c>
    </row>
    <row r="65" spans="1:38" ht="15">
      <c r="A65" s="451">
        <v>54</v>
      </c>
      <c r="B65" s="452"/>
      <c r="C65" s="453">
        <v>3</v>
      </c>
      <c r="D65" s="454">
        <v>1990</v>
      </c>
      <c r="E65" s="454" t="s">
        <v>28</v>
      </c>
      <c r="F65" s="454">
        <v>4</v>
      </c>
      <c r="G65" s="454" t="s">
        <v>29</v>
      </c>
      <c r="H65" s="455">
        <f>J65*1044/2801.6</f>
        <v>369.9611650485437</v>
      </c>
      <c r="I65" s="455">
        <v>4089</v>
      </c>
      <c r="J65" s="455">
        <f t="shared" si="11"/>
        <v>992.8</v>
      </c>
      <c r="K65" s="456">
        <v>875.8</v>
      </c>
      <c r="L65" s="456"/>
      <c r="M65" s="457">
        <v>176.3</v>
      </c>
      <c r="N65" s="458">
        <v>16</v>
      </c>
      <c r="O65" s="453">
        <v>3</v>
      </c>
      <c r="P65" s="453">
        <v>1</v>
      </c>
      <c r="Q65" s="455">
        <v>117</v>
      </c>
      <c r="R65" s="455">
        <f t="shared" si="12"/>
        <v>0</v>
      </c>
      <c r="S65" s="455"/>
      <c r="T65" s="455"/>
      <c r="U65" s="455">
        <v>225.3</v>
      </c>
      <c r="V65" s="455">
        <v>225.3</v>
      </c>
      <c r="W65" s="455"/>
      <c r="X65" s="459" t="s">
        <v>30</v>
      </c>
      <c r="Y65" s="459" t="s">
        <v>31</v>
      </c>
      <c r="Z65" s="460" t="s">
        <v>32</v>
      </c>
      <c r="AA65" s="460" t="s">
        <v>32</v>
      </c>
      <c r="AB65" s="460" t="s">
        <v>32</v>
      </c>
      <c r="AC65" s="460" t="s">
        <v>52</v>
      </c>
      <c r="AD65" s="454" t="s">
        <v>33</v>
      </c>
      <c r="AE65" s="454" t="s">
        <v>34</v>
      </c>
      <c r="AF65" s="454" t="s">
        <v>35</v>
      </c>
      <c r="AG65" s="461">
        <v>547</v>
      </c>
      <c r="AH65" s="461">
        <v>250</v>
      </c>
      <c r="AI65" s="462">
        <f>AI64</f>
        <v>10.78</v>
      </c>
      <c r="AJ65" s="463">
        <f t="shared" si="13"/>
        <v>1.02</v>
      </c>
      <c r="AK65" s="463"/>
      <c r="AL65" s="464">
        <f t="shared" si="14"/>
        <v>11.799999999999999</v>
      </c>
    </row>
    <row r="66" spans="1:38" ht="15">
      <c r="A66" s="451">
        <v>55</v>
      </c>
      <c r="B66" s="452"/>
      <c r="C66" s="453">
        <v>4</v>
      </c>
      <c r="D66" s="454">
        <v>1995</v>
      </c>
      <c r="E66" s="454" t="s">
        <v>28</v>
      </c>
      <c r="F66" s="454">
        <v>4</v>
      </c>
      <c r="G66" s="454" t="s">
        <v>29</v>
      </c>
      <c r="H66" s="455">
        <v>428</v>
      </c>
      <c r="I66" s="455">
        <v>3801</v>
      </c>
      <c r="J66" s="455">
        <f t="shared" si="11"/>
        <v>953.4000000000001</v>
      </c>
      <c r="K66" s="456">
        <v>852.2</v>
      </c>
      <c r="L66" s="456"/>
      <c r="M66" s="457">
        <v>97.2</v>
      </c>
      <c r="N66" s="458">
        <v>16</v>
      </c>
      <c r="O66" s="453">
        <v>2</v>
      </c>
      <c r="P66" s="453">
        <v>1</v>
      </c>
      <c r="Q66" s="455">
        <v>101.2</v>
      </c>
      <c r="R66" s="455">
        <f t="shared" si="12"/>
        <v>0</v>
      </c>
      <c r="S66" s="455"/>
      <c r="T66" s="455"/>
      <c r="U66" s="455"/>
      <c r="V66" s="455">
        <v>206.6</v>
      </c>
      <c r="W66" s="455"/>
      <c r="X66" s="459" t="s">
        <v>30</v>
      </c>
      <c r="Y66" s="459" t="s">
        <v>31</v>
      </c>
      <c r="Z66" s="460" t="s">
        <v>32</v>
      </c>
      <c r="AA66" s="460" t="s">
        <v>32</v>
      </c>
      <c r="AB66" s="460" t="s">
        <v>32</v>
      </c>
      <c r="AC66" s="460" t="s">
        <v>52</v>
      </c>
      <c r="AD66" s="454" t="s">
        <v>33</v>
      </c>
      <c r="AE66" s="454" t="s">
        <v>34</v>
      </c>
      <c r="AF66" s="454" t="s">
        <v>35</v>
      </c>
      <c r="AG66" s="461">
        <v>547</v>
      </c>
      <c r="AH66" s="461">
        <v>250</v>
      </c>
      <c r="AI66" s="462">
        <v>10.74</v>
      </c>
      <c r="AJ66" s="463">
        <f t="shared" si="13"/>
        <v>1.02</v>
      </c>
      <c r="AK66" s="463"/>
      <c r="AL66" s="464">
        <f t="shared" si="14"/>
        <v>11.76</v>
      </c>
    </row>
    <row r="67" spans="1:38" ht="15">
      <c r="A67" s="451">
        <v>56</v>
      </c>
      <c r="B67" s="452" t="s">
        <v>45</v>
      </c>
      <c r="C67" s="453">
        <v>1</v>
      </c>
      <c r="D67" s="454">
        <v>1972</v>
      </c>
      <c r="E67" s="454" t="s">
        <v>83</v>
      </c>
      <c r="F67" s="454">
        <v>1</v>
      </c>
      <c r="G67" s="454" t="s">
        <v>29</v>
      </c>
      <c r="H67" s="455">
        <f>J67*137/123.3</f>
        <v>165.2222222222222</v>
      </c>
      <c r="I67" s="455">
        <f>482+50</f>
        <v>532</v>
      </c>
      <c r="J67" s="455">
        <f t="shared" si="11"/>
        <v>148.7</v>
      </c>
      <c r="K67" s="456">
        <v>148.7</v>
      </c>
      <c r="L67" s="456"/>
      <c r="M67" s="457">
        <v>33.6</v>
      </c>
      <c r="N67" s="458">
        <v>4</v>
      </c>
      <c r="O67" s="453">
        <v>1</v>
      </c>
      <c r="P67" s="453">
        <v>1</v>
      </c>
      <c r="Q67" s="527"/>
      <c r="R67" s="455">
        <f t="shared" si="12"/>
        <v>0</v>
      </c>
      <c r="S67" s="527"/>
      <c r="T67" s="527"/>
      <c r="U67" s="455"/>
      <c r="V67" s="455"/>
      <c r="W67" s="455"/>
      <c r="X67" s="459" t="s">
        <v>85</v>
      </c>
      <c r="Y67" s="459"/>
      <c r="Z67" s="460" t="s">
        <v>32</v>
      </c>
      <c r="AA67" s="460" t="s">
        <v>52</v>
      </c>
      <c r="AB67" s="460" t="s">
        <v>52</v>
      </c>
      <c r="AC67" s="460" t="s">
        <v>52</v>
      </c>
      <c r="AD67" s="454" t="s">
        <v>33</v>
      </c>
      <c r="AE67" s="454" t="s">
        <v>34</v>
      </c>
      <c r="AF67" s="454" t="s">
        <v>74</v>
      </c>
      <c r="AG67" s="528"/>
      <c r="AH67" s="528"/>
      <c r="AI67" s="462">
        <v>4.61</v>
      </c>
      <c r="AJ67" s="463">
        <f t="shared" si="13"/>
        <v>1.02</v>
      </c>
      <c r="AK67" s="463"/>
      <c r="AL67" s="464">
        <f t="shared" si="14"/>
        <v>5.630000000000001</v>
      </c>
    </row>
    <row r="68" spans="1:38" ht="15">
      <c r="A68" s="451">
        <v>57</v>
      </c>
      <c r="B68" s="452"/>
      <c r="C68" s="453">
        <v>2</v>
      </c>
      <c r="D68" s="454">
        <v>1972</v>
      </c>
      <c r="E68" s="454" t="s">
        <v>83</v>
      </c>
      <c r="F68" s="454">
        <v>1</v>
      </c>
      <c r="G68" s="454" t="s">
        <v>29</v>
      </c>
      <c r="H68" s="455">
        <f>J68*137/123.3</f>
        <v>153.11111111111114</v>
      </c>
      <c r="I68" s="455">
        <v>482</v>
      </c>
      <c r="J68" s="455">
        <f t="shared" si="11"/>
        <v>137.8</v>
      </c>
      <c r="K68" s="456">
        <v>137.8</v>
      </c>
      <c r="L68" s="456"/>
      <c r="M68" s="457">
        <v>68.9</v>
      </c>
      <c r="N68" s="458">
        <v>4</v>
      </c>
      <c r="O68" s="453">
        <v>2</v>
      </c>
      <c r="P68" s="453">
        <v>1</v>
      </c>
      <c r="Q68" s="527"/>
      <c r="R68" s="455">
        <f t="shared" si="12"/>
        <v>0</v>
      </c>
      <c r="S68" s="527"/>
      <c r="T68" s="527"/>
      <c r="U68" s="455"/>
      <c r="V68" s="455"/>
      <c r="W68" s="455"/>
      <c r="X68" s="459" t="s">
        <v>85</v>
      </c>
      <c r="Y68" s="459"/>
      <c r="Z68" s="460" t="s">
        <v>32</v>
      </c>
      <c r="AA68" s="460" t="s">
        <v>52</v>
      </c>
      <c r="AB68" s="460" t="s">
        <v>52</v>
      </c>
      <c r="AC68" s="460" t="s">
        <v>52</v>
      </c>
      <c r="AD68" s="454" t="s">
        <v>33</v>
      </c>
      <c r="AE68" s="454" t="s">
        <v>34</v>
      </c>
      <c r="AF68" s="454" t="s">
        <v>74</v>
      </c>
      <c r="AG68" s="528"/>
      <c r="AH68" s="528"/>
      <c r="AI68" s="462">
        <f>AI67</f>
        <v>4.61</v>
      </c>
      <c r="AJ68" s="463">
        <f t="shared" si="13"/>
        <v>1.02</v>
      </c>
      <c r="AK68" s="463"/>
      <c r="AL68" s="464">
        <f t="shared" si="14"/>
        <v>5.630000000000001</v>
      </c>
    </row>
    <row r="69" spans="1:38" ht="15">
      <c r="A69" s="451">
        <v>58</v>
      </c>
      <c r="B69" s="452"/>
      <c r="C69" s="453">
        <v>3</v>
      </c>
      <c r="D69" s="454">
        <v>1973</v>
      </c>
      <c r="E69" s="454" t="s">
        <v>83</v>
      </c>
      <c r="F69" s="454">
        <v>1</v>
      </c>
      <c r="G69" s="454" t="s">
        <v>29</v>
      </c>
      <c r="H69" s="455">
        <f>J69*137/123.3</f>
        <v>185.77777777777777</v>
      </c>
      <c r="I69" s="455">
        <v>482</v>
      </c>
      <c r="J69" s="455">
        <f t="shared" si="11"/>
        <v>167.2</v>
      </c>
      <c r="K69" s="456">
        <v>167.2</v>
      </c>
      <c r="L69" s="456"/>
      <c r="M69" s="457">
        <v>0</v>
      </c>
      <c r="N69" s="458">
        <v>4</v>
      </c>
      <c r="O69" s="453">
        <v>0</v>
      </c>
      <c r="P69" s="453">
        <v>1</v>
      </c>
      <c r="Q69" s="527"/>
      <c r="R69" s="455">
        <f t="shared" si="12"/>
        <v>0</v>
      </c>
      <c r="S69" s="527"/>
      <c r="T69" s="527"/>
      <c r="U69" s="455"/>
      <c r="V69" s="455"/>
      <c r="W69" s="455"/>
      <c r="X69" s="459" t="s">
        <v>85</v>
      </c>
      <c r="Y69" s="459" t="s">
        <v>31</v>
      </c>
      <c r="Z69" s="460" t="s">
        <v>32</v>
      </c>
      <c r="AA69" s="460" t="s">
        <v>52</v>
      </c>
      <c r="AB69" s="460" t="s">
        <v>32</v>
      </c>
      <c r="AC69" s="460" t="s">
        <v>52</v>
      </c>
      <c r="AD69" s="454" t="s">
        <v>33</v>
      </c>
      <c r="AE69" s="454" t="s">
        <v>34</v>
      </c>
      <c r="AF69" s="454" t="s">
        <v>74</v>
      </c>
      <c r="AG69" s="528"/>
      <c r="AH69" s="528"/>
      <c r="AI69" s="462">
        <f>AI68</f>
        <v>4.61</v>
      </c>
      <c r="AJ69" s="463">
        <f t="shared" si="13"/>
        <v>1.02</v>
      </c>
      <c r="AK69" s="463"/>
      <c r="AL69" s="464">
        <f t="shared" si="14"/>
        <v>5.630000000000001</v>
      </c>
    </row>
    <row r="70" spans="1:38" ht="15">
      <c r="A70" s="451">
        <v>59</v>
      </c>
      <c r="B70" s="452"/>
      <c r="C70" s="453">
        <v>57</v>
      </c>
      <c r="D70" s="454">
        <v>1932</v>
      </c>
      <c r="E70" s="454" t="s">
        <v>46</v>
      </c>
      <c r="F70" s="454">
        <v>1</v>
      </c>
      <c r="G70" s="454" t="s">
        <v>29</v>
      </c>
      <c r="H70" s="455">
        <f>J70*137/123.3</f>
        <v>0</v>
      </c>
      <c r="I70" s="455">
        <v>960</v>
      </c>
      <c r="J70" s="455">
        <v>0</v>
      </c>
      <c r="K70" s="456">
        <v>194.5</v>
      </c>
      <c r="L70" s="456"/>
      <c r="M70" s="457">
        <v>0</v>
      </c>
      <c r="N70" s="458">
        <v>9</v>
      </c>
      <c r="O70" s="453">
        <v>0</v>
      </c>
      <c r="P70" s="453">
        <v>1</v>
      </c>
      <c r="Q70" s="527"/>
      <c r="R70" s="455">
        <f t="shared" si="12"/>
        <v>0</v>
      </c>
      <c r="S70" s="527"/>
      <c r="T70" s="527"/>
      <c r="U70" s="455"/>
      <c r="V70" s="455"/>
      <c r="W70" s="455"/>
      <c r="X70" s="459" t="s">
        <v>30</v>
      </c>
      <c r="Y70" s="459"/>
      <c r="Z70" s="460" t="s">
        <v>32</v>
      </c>
      <c r="AA70" s="460" t="s">
        <v>52</v>
      </c>
      <c r="AB70" s="460" t="s">
        <v>52</v>
      </c>
      <c r="AC70" s="460" t="s">
        <v>52</v>
      </c>
      <c r="AD70" s="460" t="s">
        <v>52</v>
      </c>
      <c r="AE70" s="454" t="s">
        <v>84</v>
      </c>
      <c r="AF70" s="454" t="s">
        <v>74</v>
      </c>
      <c r="AG70" s="528"/>
      <c r="AH70" s="528"/>
      <c r="AI70" s="462">
        <v>7.76</v>
      </c>
      <c r="AJ70" s="463">
        <f t="shared" si="13"/>
        <v>1.02</v>
      </c>
      <c r="AK70" s="463"/>
      <c r="AL70" s="464">
        <f t="shared" si="14"/>
        <v>8.78</v>
      </c>
    </row>
    <row r="71" spans="1:38" ht="15">
      <c r="A71" s="451">
        <v>60</v>
      </c>
      <c r="B71" s="452"/>
      <c r="C71" s="453">
        <v>60</v>
      </c>
      <c r="D71" s="454">
        <v>1983</v>
      </c>
      <c r="E71" s="454" t="s">
        <v>28</v>
      </c>
      <c r="F71" s="454">
        <v>2</v>
      </c>
      <c r="G71" s="454" t="s">
        <v>29</v>
      </c>
      <c r="H71" s="455">
        <v>600</v>
      </c>
      <c r="I71" s="455">
        <v>3299</v>
      </c>
      <c r="J71" s="455">
        <f t="shared" si="11"/>
        <v>687.6</v>
      </c>
      <c r="K71" s="456">
        <v>622.5</v>
      </c>
      <c r="L71" s="456"/>
      <c r="M71" s="457">
        <v>44.7</v>
      </c>
      <c r="N71" s="458">
        <v>15</v>
      </c>
      <c r="O71" s="453">
        <v>1</v>
      </c>
      <c r="P71" s="453">
        <v>2</v>
      </c>
      <c r="Q71" s="455">
        <v>65.1</v>
      </c>
      <c r="R71" s="455">
        <f t="shared" si="12"/>
        <v>0</v>
      </c>
      <c r="S71" s="455"/>
      <c r="T71" s="455"/>
      <c r="U71" s="455"/>
      <c r="V71" s="455"/>
      <c r="W71" s="455"/>
      <c r="X71" s="459" t="s">
        <v>30</v>
      </c>
      <c r="Y71" s="459" t="s">
        <v>37</v>
      </c>
      <c r="Z71" s="460" t="s">
        <v>32</v>
      </c>
      <c r="AA71" s="460" t="s">
        <v>32</v>
      </c>
      <c r="AB71" s="460" t="s">
        <v>32</v>
      </c>
      <c r="AC71" s="460" t="s">
        <v>52</v>
      </c>
      <c r="AD71" s="454" t="s">
        <v>33</v>
      </c>
      <c r="AE71" s="454" t="s">
        <v>34</v>
      </c>
      <c r="AF71" s="454" t="s">
        <v>35</v>
      </c>
      <c r="AG71" s="461">
        <v>160</v>
      </c>
      <c r="AH71" s="461">
        <v>390</v>
      </c>
      <c r="AI71" s="462">
        <v>8.09</v>
      </c>
      <c r="AJ71" s="463">
        <f t="shared" si="13"/>
        <v>1.02</v>
      </c>
      <c r="AK71" s="463"/>
      <c r="AL71" s="464">
        <f t="shared" si="14"/>
        <v>9.11</v>
      </c>
    </row>
    <row r="72" spans="1:38" ht="15">
      <c r="A72" s="451">
        <v>61</v>
      </c>
      <c r="B72" s="452"/>
      <c r="C72" s="453">
        <v>64</v>
      </c>
      <c r="D72" s="454">
        <v>1969</v>
      </c>
      <c r="E72" s="454" t="s">
        <v>28</v>
      </c>
      <c r="F72" s="454">
        <v>2</v>
      </c>
      <c r="G72" s="454" t="s">
        <v>29</v>
      </c>
      <c r="H72" s="455">
        <v>113.1</v>
      </c>
      <c r="I72" s="455">
        <v>656</v>
      </c>
      <c r="J72" s="455">
        <f t="shared" si="11"/>
        <v>130</v>
      </c>
      <c r="K72" s="456">
        <v>130</v>
      </c>
      <c r="L72" s="456"/>
      <c r="M72" s="457">
        <v>0</v>
      </c>
      <c r="N72" s="458">
        <v>4</v>
      </c>
      <c r="O72" s="453">
        <v>0</v>
      </c>
      <c r="P72" s="453">
        <v>1</v>
      </c>
      <c r="Q72" s="455"/>
      <c r="R72" s="455">
        <f t="shared" si="12"/>
        <v>0</v>
      </c>
      <c r="S72" s="455"/>
      <c r="T72" s="455"/>
      <c r="U72" s="455"/>
      <c r="V72" s="455"/>
      <c r="W72" s="455"/>
      <c r="X72" s="459" t="s">
        <v>30</v>
      </c>
      <c r="Y72" s="459" t="s">
        <v>37</v>
      </c>
      <c r="Z72" s="460" t="s">
        <v>32</v>
      </c>
      <c r="AA72" s="460" t="s">
        <v>32</v>
      </c>
      <c r="AB72" s="460" t="s">
        <v>32</v>
      </c>
      <c r="AC72" s="460" t="s">
        <v>52</v>
      </c>
      <c r="AD72" s="454" t="s">
        <v>33</v>
      </c>
      <c r="AE72" s="454" t="s">
        <v>34</v>
      </c>
      <c r="AF72" s="454" t="s">
        <v>35</v>
      </c>
      <c r="AG72" s="461">
        <v>160</v>
      </c>
      <c r="AH72" s="461">
        <v>390</v>
      </c>
      <c r="AI72" s="462">
        <v>8.31</v>
      </c>
      <c r="AJ72" s="463">
        <f t="shared" si="13"/>
        <v>1.02</v>
      </c>
      <c r="AK72" s="463"/>
      <c r="AL72" s="464">
        <f t="shared" si="14"/>
        <v>9.33</v>
      </c>
    </row>
    <row r="73" spans="1:38" ht="15">
      <c r="A73" s="451">
        <v>62</v>
      </c>
      <c r="B73" s="452"/>
      <c r="C73" s="453">
        <v>91</v>
      </c>
      <c r="D73" s="454">
        <v>1991</v>
      </c>
      <c r="E73" s="454" t="s">
        <v>28</v>
      </c>
      <c r="F73" s="454">
        <v>9</v>
      </c>
      <c r="G73" s="454" t="s">
        <v>38</v>
      </c>
      <c r="H73" s="455">
        <f>V73</f>
        <v>1218.9</v>
      </c>
      <c r="I73" s="455">
        <v>31752</v>
      </c>
      <c r="J73" s="455">
        <f t="shared" si="11"/>
        <v>8615.93</v>
      </c>
      <c r="K73" s="456">
        <f>7340.33-R73</f>
        <v>6965.8</v>
      </c>
      <c r="L73" s="456"/>
      <c r="M73" s="457">
        <v>1290.1</v>
      </c>
      <c r="N73" s="458">
        <v>121</v>
      </c>
      <c r="O73" s="453">
        <v>22</v>
      </c>
      <c r="P73" s="453">
        <v>4</v>
      </c>
      <c r="Q73" s="455">
        <v>1275.6</v>
      </c>
      <c r="R73" s="455">
        <f t="shared" si="12"/>
        <v>374.53000000000003</v>
      </c>
      <c r="S73" s="455"/>
      <c r="T73" s="529">
        <f>48.33+51.66+63.6+87.34+86+37.6</f>
        <v>374.53000000000003</v>
      </c>
      <c r="U73" s="524"/>
      <c r="V73" s="524">
        <v>1218.9</v>
      </c>
      <c r="W73" s="524"/>
      <c r="X73" s="459" t="s">
        <v>30</v>
      </c>
      <c r="Y73" s="459" t="s">
        <v>37</v>
      </c>
      <c r="Z73" s="460" t="s">
        <v>32</v>
      </c>
      <c r="AA73" s="460" t="s">
        <v>32</v>
      </c>
      <c r="AB73" s="460" t="s">
        <v>32</v>
      </c>
      <c r="AC73" s="460" t="s">
        <v>32</v>
      </c>
      <c r="AD73" s="454" t="s">
        <v>33</v>
      </c>
      <c r="AE73" s="454" t="s">
        <v>34</v>
      </c>
      <c r="AF73" s="454" t="s">
        <v>35</v>
      </c>
      <c r="AG73" s="461">
        <v>1902</v>
      </c>
      <c r="AH73" s="461">
        <v>704</v>
      </c>
      <c r="AI73" s="462">
        <v>10.28</v>
      </c>
      <c r="AJ73" s="463">
        <f t="shared" si="13"/>
        <v>1.02</v>
      </c>
      <c r="AK73" s="463">
        <v>7.1</v>
      </c>
      <c r="AL73" s="464">
        <f t="shared" si="14"/>
        <v>18.4</v>
      </c>
    </row>
    <row r="74" spans="1:38" ht="15.75" thickBot="1">
      <c r="A74" s="451">
        <v>63</v>
      </c>
      <c r="B74" s="452" t="s">
        <v>47</v>
      </c>
      <c r="C74" s="453">
        <v>1</v>
      </c>
      <c r="D74" s="454">
        <v>1988</v>
      </c>
      <c r="E74" s="454" t="s">
        <v>42</v>
      </c>
      <c r="F74" s="454">
        <v>5</v>
      </c>
      <c r="G74" s="454" t="s">
        <v>38</v>
      </c>
      <c r="H74" s="455">
        <f>V74</f>
        <v>842.4799999999999</v>
      </c>
      <c r="I74" s="455">
        <v>15829</v>
      </c>
      <c r="J74" s="455">
        <f t="shared" si="11"/>
        <v>4716.9</v>
      </c>
      <c r="K74" s="456">
        <v>4224</v>
      </c>
      <c r="L74" s="456"/>
      <c r="M74" s="457">
        <v>528.2</v>
      </c>
      <c r="N74" s="458">
        <v>81</v>
      </c>
      <c r="O74" s="453">
        <v>9</v>
      </c>
      <c r="P74" s="453">
        <v>6</v>
      </c>
      <c r="Q74" s="455">
        <v>492.9</v>
      </c>
      <c r="R74" s="455">
        <f t="shared" si="12"/>
        <v>0</v>
      </c>
      <c r="S74" s="455"/>
      <c r="T74" s="455"/>
      <c r="U74" s="455"/>
      <c r="V74" s="455">
        <f>4237.4/5-5</f>
        <v>842.4799999999999</v>
      </c>
      <c r="W74" s="455"/>
      <c r="X74" s="459" t="s">
        <v>30</v>
      </c>
      <c r="Y74" s="459" t="s">
        <v>37</v>
      </c>
      <c r="Z74" s="460" t="s">
        <v>32</v>
      </c>
      <c r="AA74" s="460" t="s">
        <v>32</v>
      </c>
      <c r="AB74" s="460" t="s">
        <v>32</v>
      </c>
      <c r="AC74" s="460" t="s">
        <v>52</v>
      </c>
      <c r="AD74" s="454" t="s">
        <v>33</v>
      </c>
      <c r="AE74" s="454" t="s">
        <v>34</v>
      </c>
      <c r="AF74" s="454" t="s">
        <v>35</v>
      </c>
      <c r="AG74" s="461">
        <v>1052</v>
      </c>
      <c r="AH74" s="461">
        <v>669</v>
      </c>
      <c r="AI74" s="462">
        <v>9.47</v>
      </c>
      <c r="AJ74" s="463">
        <f t="shared" si="13"/>
        <v>1.02</v>
      </c>
      <c r="AK74" s="463"/>
      <c r="AL74" s="464">
        <f t="shared" si="14"/>
        <v>10.49</v>
      </c>
    </row>
    <row r="75" spans="1:38" ht="15.75" thickBot="1">
      <c r="A75" s="487">
        <v>1</v>
      </c>
      <c r="B75" s="487">
        <v>2</v>
      </c>
      <c r="C75" s="487">
        <v>3</v>
      </c>
      <c r="D75" s="487">
        <v>4</v>
      </c>
      <c r="E75" s="487">
        <v>5</v>
      </c>
      <c r="F75" s="487">
        <v>6</v>
      </c>
      <c r="G75" s="487">
        <v>7</v>
      </c>
      <c r="H75" s="487">
        <v>8</v>
      </c>
      <c r="I75" s="487">
        <v>9</v>
      </c>
      <c r="J75" s="487">
        <v>10</v>
      </c>
      <c r="K75" s="487">
        <v>11</v>
      </c>
      <c r="L75" s="487">
        <v>12</v>
      </c>
      <c r="M75" s="487">
        <v>13</v>
      </c>
      <c r="N75" s="487">
        <v>14</v>
      </c>
      <c r="O75" s="487">
        <v>15</v>
      </c>
      <c r="P75" s="487">
        <v>16</v>
      </c>
      <c r="Q75" s="487">
        <v>17</v>
      </c>
      <c r="R75" s="487">
        <v>18</v>
      </c>
      <c r="S75" s="487">
        <v>19</v>
      </c>
      <c r="T75" s="487">
        <v>20</v>
      </c>
      <c r="U75" s="487">
        <v>21</v>
      </c>
      <c r="V75" s="487">
        <v>22</v>
      </c>
      <c r="W75" s="487">
        <v>23</v>
      </c>
      <c r="X75" s="487">
        <v>24</v>
      </c>
      <c r="Y75" s="487">
        <v>25</v>
      </c>
      <c r="Z75" s="487">
        <v>26</v>
      </c>
      <c r="AA75" s="487">
        <v>27</v>
      </c>
      <c r="AB75" s="487">
        <v>28</v>
      </c>
      <c r="AC75" s="487">
        <v>29</v>
      </c>
      <c r="AD75" s="487">
        <v>30</v>
      </c>
      <c r="AE75" s="487">
        <v>31</v>
      </c>
      <c r="AF75" s="487">
        <v>32</v>
      </c>
      <c r="AG75" s="487">
        <v>33</v>
      </c>
      <c r="AH75" s="487">
        <v>34</v>
      </c>
      <c r="AI75" s="487">
        <v>35</v>
      </c>
      <c r="AJ75" s="487">
        <v>36</v>
      </c>
      <c r="AK75" s="487">
        <v>37</v>
      </c>
      <c r="AL75" s="488">
        <v>38</v>
      </c>
    </row>
    <row r="76" spans="1:38" ht="15.75" thickTop="1">
      <c r="A76" s="451">
        <v>64</v>
      </c>
      <c r="B76" s="452" t="s">
        <v>39</v>
      </c>
      <c r="C76" s="453">
        <v>3</v>
      </c>
      <c r="D76" s="454">
        <v>1974</v>
      </c>
      <c r="E76" s="454" t="s">
        <v>42</v>
      </c>
      <c r="F76" s="454">
        <v>2</v>
      </c>
      <c r="G76" s="454" t="s">
        <v>38</v>
      </c>
      <c r="H76" s="459">
        <f>V76</f>
        <v>530.447</v>
      </c>
      <c r="I76" s="458">
        <v>3789</v>
      </c>
      <c r="J76" s="455">
        <f>K76+Q76+R76</f>
        <v>883.2</v>
      </c>
      <c r="K76" s="456">
        <v>661.6</v>
      </c>
      <c r="L76" s="456"/>
      <c r="M76" s="518">
        <v>474</v>
      </c>
      <c r="N76" s="458">
        <v>32</v>
      </c>
      <c r="O76" s="453">
        <v>23</v>
      </c>
      <c r="P76" s="453">
        <v>2</v>
      </c>
      <c r="Q76" s="455">
        <v>221.6</v>
      </c>
      <c r="R76" s="455"/>
      <c r="S76" s="455"/>
      <c r="T76" s="455"/>
      <c r="U76" s="459"/>
      <c r="V76" s="455">
        <f>4.8*(3.25+2.8+2.8+3.35+3.1+3.1+2.8+2.7+3.35+2.8+2.8+3.33+3.1+3.3+3.3+2.8+2.76+3.33)+3.35*(6.2+6.2+3+3.7+2.5+6.2+6.22+6.22+3+6.2+6.18)+1.42*57.2</f>
        <v>530.447</v>
      </c>
      <c r="W76" s="455"/>
      <c r="X76" s="459" t="s">
        <v>30</v>
      </c>
      <c r="Y76" s="459" t="s">
        <v>37</v>
      </c>
      <c r="Z76" s="460" t="s">
        <v>32</v>
      </c>
      <c r="AA76" s="460" t="s">
        <v>32</v>
      </c>
      <c r="AB76" s="460" t="s">
        <v>32</v>
      </c>
      <c r="AC76" s="460" t="s">
        <v>52</v>
      </c>
      <c r="AD76" s="460" t="s">
        <v>52</v>
      </c>
      <c r="AE76" s="454" t="s">
        <v>84</v>
      </c>
      <c r="AF76" s="454" t="s">
        <v>35</v>
      </c>
      <c r="AG76" s="530">
        <v>300</v>
      </c>
      <c r="AH76" s="530"/>
      <c r="AI76" s="531">
        <v>7.67</v>
      </c>
      <c r="AJ76" s="463">
        <f>AJ$8</f>
        <v>1.02</v>
      </c>
      <c r="AK76" s="463"/>
      <c r="AL76" s="521">
        <f>SUM(AI76:AK76)</f>
        <v>8.69</v>
      </c>
    </row>
    <row r="77" spans="1:38" ht="15">
      <c r="A77" s="955">
        <v>65</v>
      </c>
      <c r="B77" s="958"/>
      <c r="C77" s="956">
        <v>4</v>
      </c>
      <c r="D77" s="953">
        <v>1979</v>
      </c>
      <c r="E77" s="953" t="s">
        <v>42</v>
      </c>
      <c r="F77" s="953">
        <v>2</v>
      </c>
      <c r="G77" s="953" t="s">
        <v>29</v>
      </c>
      <c r="H77" s="954">
        <f>J77*288/342.6</f>
        <v>983.8739054290716</v>
      </c>
      <c r="I77" s="954">
        <v>4409</v>
      </c>
      <c r="J77" s="954">
        <f>K77+Q77+R77</f>
        <v>1170.3999999999999</v>
      </c>
      <c r="K77" s="838">
        <v>1040.8</v>
      </c>
      <c r="L77" s="456"/>
      <c r="M77" s="964">
        <v>222.4</v>
      </c>
      <c r="N77" s="842">
        <v>28</v>
      </c>
      <c r="O77" s="840">
        <v>5</v>
      </c>
      <c r="P77" s="956">
        <v>4</v>
      </c>
      <c r="Q77" s="954">
        <v>129.6</v>
      </c>
      <c r="R77" s="954">
        <f>SUM(S77:T77)</f>
        <v>0</v>
      </c>
      <c r="S77" s="954"/>
      <c r="T77" s="954"/>
      <c r="U77" s="876"/>
      <c r="V77" s="954">
        <v>593.4</v>
      </c>
      <c r="W77" s="954"/>
      <c r="X77" s="876" t="s">
        <v>30</v>
      </c>
      <c r="Y77" s="459" t="s">
        <v>37</v>
      </c>
      <c r="Z77" s="959" t="s">
        <v>32</v>
      </c>
      <c r="AA77" s="959" t="s">
        <v>32</v>
      </c>
      <c r="AB77" s="959" t="s">
        <v>32</v>
      </c>
      <c r="AC77" s="959" t="s">
        <v>52</v>
      </c>
      <c r="AD77" s="953" t="s">
        <v>33</v>
      </c>
      <c r="AE77" s="953" t="s">
        <v>34</v>
      </c>
      <c r="AF77" s="953" t="s">
        <v>35</v>
      </c>
      <c r="AG77" s="962">
        <v>445</v>
      </c>
      <c r="AH77" s="957">
        <v>471</v>
      </c>
      <c r="AI77" s="961">
        <v>8.38</v>
      </c>
      <c r="AJ77" s="963">
        <f>AJ76</f>
        <v>1.02</v>
      </c>
      <c r="AK77" s="953"/>
      <c r="AL77" s="960">
        <f>SUM(AI77:AK77)</f>
        <v>9.4</v>
      </c>
    </row>
    <row r="78" spans="1:38" ht="15">
      <c r="A78" s="955"/>
      <c r="B78" s="958"/>
      <c r="C78" s="956"/>
      <c r="D78" s="953"/>
      <c r="E78" s="953"/>
      <c r="F78" s="953"/>
      <c r="G78" s="953"/>
      <c r="H78" s="954"/>
      <c r="I78" s="954"/>
      <c r="J78" s="954"/>
      <c r="K78" s="839"/>
      <c r="L78" s="523" t="s">
        <v>109</v>
      </c>
      <c r="M78" s="965"/>
      <c r="N78" s="843"/>
      <c r="O78" s="841"/>
      <c r="P78" s="956"/>
      <c r="Q78" s="954"/>
      <c r="R78" s="954"/>
      <c r="S78" s="954"/>
      <c r="T78" s="954"/>
      <c r="U78" s="876"/>
      <c r="V78" s="954"/>
      <c r="W78" s="954"/>
      <c r="X78" s="876"/>
      <c r="Y78" s="459" t="s">
        <v>31</v>
      </c>
      <c r="Z78" s="959"/>
      <c r="AA78" s="959"/>
      <c r="AB78" s="959"/>
      <c r="AC78" s="959"/>
      <c r="AD78" s="953"/>
      <c r="AE78" s="953"/>
      <c r="AF78" s="953"/>
      <c r="AG78" s="962"/>
      <c r="AH78" s="957"/>
      <c r="AI78" s="961"/>
      <c r="AJ78" s="963"/>
      <c r="AK78" s="953"/>
      <c r="AL78" s="960"/>
    </row>
    <row r="79" spans="1:38" ht="15">
      <c r="A79" s="451">
        <v>66</v>
      </c>
      <c r="B79" s="452"/>
      <c r="C79" s="453">
        <v>5</v>
      </c>
      <c r="D79" s="454">
        <v>1997</v>
      </c>
      <c r="E79" s="454" t="s">
        <v>28</v>
      </c>
      <c r="F79" s="454">
        <v>3</v>
      </c>
      <c r="G79" s="454" t="s">
        <v>38</v>
      </c>
      <c r="H79" s="455">
        <f>V79</f>
        <v>460</v>
      </c>
      <c r="I79" s="455">
        <v>6085</v>
      </c>
      <c r="J79" s="455">
        <f aca="true" t="shared" si="15" ref="J79:J93">K79+Q79+R79</f>
        <v>1380.9</v>
      </c>
      <c r="K79" s="456">
        <v>1278.9</v>
      </c>
      <c r="L79" s="456"/>
      <c r="M79" s="518">
        <v>49</v>
      </c>
      <c r="N79" s="458">
        <v>24</v>
      </c>
      <c r="O79" s="453">
        <v>1</v>
      </c>
      <c r="P79" s="453">
        <v>2</v>
      </c>
      <c r="Q79" s="455">
        <v>102</v>
      </c>
      <c r="R79" s="455">
        <f aca="true" t="shared" si="16" ref="R79:R93">SUM(S79:T79)</f>
        <v>0</v>
      </c>
      <c r="S79" s="455"/>
      <c r="T79" s="455"/>
      <c r="U79" s="459"/>
      <c r="V79" s="455">
        <v>460</v>
      </c>
      <c r="W79" s="455"/>
      <c r="X79" s="459" t="s">
        <v>30</v>
      </c>
      <c r="Y79" s="459" t="s">
        <v>37</v>
      </c>
      <c r="Z79" s="460" t="s">
        <v>32</v>
      </c>
      <c r="AA79" s="460" t="s">
        <v>32</v>
      </c>
      <c r="AB79" s="460" t="s">
        <v>32</v>
      </c>
      <c r="AC79" s="460" t="s">
        <v>52</v>
      </c>
      <c r="AD79" s="454" t="s">
        <v>33</v>
      </c>
      <c r="AE79" s="454" t="s">
        <v>34</v>
      </c>
      <c r="AF79" s="454" t="s">
        <v>35</v>
      </c>
      <c r="AG79" s="530">
        <v>350</v>
      </c>
      <c r="AH79" s="461"/>
      <c r="AI79" s="462">
        <v>9.34</v>
      </c>
      <c r="AJ79" s="532">
        <f aca="true" t="shared" si="17" ref="AJ79:AJ93">AJ$8</f>
        <v>1.02</v>
      </c>
      <c r="AK79" s="463"/>
      <c r="AL79" s="464">
        <f aca="true" t="shared" si="18" ref="AL79:AL93">SUM(AI79:AK79)</f>
        <v>10.36</v>
      </c>
    </row>
    <row r="80" spans="1:38" ht="15">
      <c r="A80" s="451">
        <v>67</v>
      </c>
      <c r="B80" s="452" t="s">
        <v>48</v>
      </c>
      <c r="C80" s="453">
        <v>1</v>
      </c>
      <c r="D80" s="454">
        <v>1982</v>
      </c>
      <c r="E80" s="454" t="s">
        <v>28</v>
      </c>
      <c r="F80" s="454">
        <v>2</v>
      </c>
      <c r="G80" s="454" t="s">
        <v>29</v>
      </c>
      <c r="H80" s="455">
        <f aca="true" t="shared" si="19" ref="H80:H89">J80*288/342.6</f>
        <v>695.2854640980736</v>
      </c>
      <c r="I80" s="455">
        <v>2918</v>
      </c>
      <c r="J80" s="455">
        <f t="shared" si="15"/>
        <v>827.1</v>
      </c>
      <c r="K80" s="456">
        <v>752.7</v>
      </c>
      <c r="L80" s="456"/>
      <c r="M80" s="518">
        <v>76.8</v>
      </c>
      <c r="N80" s="458">
        <v>18</v>
      </c>
      <c r="O80" s="453">
        <v>2</v>
      </c>
      <c r="P80" s="453">
        <v>2</v>
      </c>
      <c r="Q80" s="455">
        <v>74.4</v>
      </c>
      <c r="R80" s="455">
        <f t="shared" si="16"/>
        <v>0</v>
      </c>
      <c r="S80" s="455"/>
      <c r="T80" s="455"/>
      <c r="U80" s="459"/>
      <c r="V80" s="524"/>
      <c r="W80" s="524"/>
      <c r="X80" s="459" t="s">
        <v>30</v>
      </c>
      <c r="Y80" s="459" t="s">
        <v>31</v>
      </c>
      <c r="Z80" s="460" t="s">
        <v>32</v>
      </c>
      <c r="AA80" s="460" t="s">
        <v>32</v>
      </c>
      <c r="AB80" s="460" t="s">
        <v>32</v>
      </c>
      <c r="AC80" s="460" t="s">
        <v>52</v>
      </c>
      <c r="AD80" s="454" t="s">
        <v>33</v>
      </c>
      <c r="AE80" s="454" t="s">
        <v>34</v>
      </c>
      <c r="AF80" s="454" t="s">
        <v>35</v>
      </c>
      <c r="AG80" s="530">
        <v>169</v>
      </c>
      <c r="AH80" s="461">
        <v>115</v>
      </c>
      <c r="AI80" s="462">
        <v>7.52</v>
      </c>
      <c r="AJ80" s="532">
        <f t="shared" si="17"/>
        <v>1.02</v>
      </c>
      <c r="AK80" s="463"/>
      <c r="AL80" s="464">
        <f t="shared" si="18"/>
        <v>8.54</v>
      </c>
    </row>
    <row r="81" spans="1:38" ht="15">
      <c r="A81" s="451">
        <v>68</v>
      </c>
      <c r="B81" s="452"/>
      <c r="C81" s="453">
        <v>2</v>
      </c>
      <c r="D81" s="454">
        <v>1981</v>
      </c>
      <c r="E81" s="454" t="s">
        <v>28</v>
      </c>
      <c r="F81" s="454">
        <v>2</v>
      </c>
      <c r="G81" s="454" t="s">
        <v>29</v>
      </c>
      <c r="H81" s="455">
        <f t="shared" si="19"/>
        <v>706.802101576182</v>
      </c>
      <c r="I81" s="455">
        <v>2969</v>
      </c>
      <c r="J81" s="455">
        <f t="shared" si="15"/>
        <v>840.8</v>
      </c>
      <c r="K81" s="456">
        <v>759.8</v>
      </c>
      <c r="L81" s="456"/>
      <c r="M81" s="518">
        <v>130.5</v>
      </c>
      <c r="N81" s="458">
        <v>16</v>
      </c>
      <c r="O81" s="453">
        <v>2</v>
      </c>
      <c r="P81" s="453">
        <v>2</v>
      </c>
      <c r="Q81" s="455">
        <v>81</v>
      </c>
      <c r="R81" s="455">
        <f t="shared" si="16"/>
        <v>0</v>
      </c>
      <c r="S81" s="455"/>
      <c r="T81" s="455"/>
      <c r="U81" s="459"/>
      <c r="V81" s="455"/>
      <c r="W81" s="455"/>
      <c r="X81" s="459" t="s">
        <v>30</v>
      </c>
      <c r="Y81" s="459" t="s">
        <v>31</v>
      </c>
      <c r="Z81" s="460" t="s">
        <v>32</v>
      </c>
      <c r="AA81" s="460" t="s">
        <v>32</v>
      </c>
      <c r="AB81" s="460" t="s">
        <v>32</v>
      </c>
      <c r="AC81" s="460" t="s">
        <v>52</v>
      </c>
      <c r="AD81" s="454" t="s">
        <v>33</v>
      </c>
      <c r="AE81" s="454" t="s">
        <v>34</v>
      </c>
      <c r="AF81" s="454" t="s">
        <v>35</v>
      </c>
      <c r="AG81" s="530">
        <v>170</v>
      </c>
      <c r="AH81" s="461">
        <v>116</v>
      </c>
      <c r="AI81" s="462">
        <f>AI80</f>
        <v>7.52</v>
      </c>
      <c r="AJ81" s="532">
        <f t="shared" si="17"/>
        <v>1.02</v>
      </c>
      <c r="AK81" s="463"/>
      <c r="AL81" s="464">
        <f t="shared" si="18"/>
        <v>8.54</v>
      </c>
    </row>
    <row r="82" spans="1:38" ht="15">
      <c r="A82" s="451">
        <v>69</v>
      </c>
      <c r="B82" s="452"/>
      <c r="C82" s="453">
        <v>3</v>
      </c>
      <c r="D82" s="454">
        <v>1967</v>
      </c>
      <c r="E82" s="454" t="s">
        <v>28</v>
      </c>
      <c r="F82" s="454">
        <v>2</v>
      </c>
      <c r="G82" s="454" t="s">
        <v>29</v>
      </c>
      <c r="H82" s="455">
        <f t="shared" si="19"/>
        <v>288.50437828371275</v>
      </c>
      <c r="I82" s="455">
        <v>1337</v>
      </c>
      <c r="J82" s="455">
        <f t="shared" si="15"/>
        <v>343.2</v>
      </c>
      <c r="K82" s="456">
        <v>309.4</v>
      </c>
      <c r="L82" s="456"/>
      <c r="M82" s="518">
        <v>38.1</v>
      </c>
      <c r="N82" s="458">
        <v>8</v>
      </c>
      <c r="O82" s="453">
        <v>1</v>
      </c>
      <c r="P82" s="453">
        <v>1</v>
      </c>
      <c r="Q82" s="455">
        <v>33.8</v>
      </c>
      <c r="R82" s="455">
        <f t="shared" si="16"/>
        <v>0</v>
      </c>
      <c r="S82" s="455"/>
      <c r="T82" s="455"/>
      <c r="U82" s="459"/>
      <c r="V82" s="455"/>
      <c r="W82" s="455"/>
      <c r="X82" s="459" t="s">
        <v>30</v>
      </c>
      <c r="Y82" s="459" t="s">
        <v>31</v>
      </c>
      <c r="Z82" s="460" t="s">
        <v>32</v>
      </c>
      <c r="AA82" s="460" t="s">
        <v>32</v>
      </c>
      <c r="AB82" s="460" t="s">
        <v>32</v>
      </c>
      <c r="AC82" s="460" t="s">
        <v>52</v>
      </c>
      <c r="AD82" s="454" t="s">
        <v>33</v>
      </c>
      <c r="AE82" s="454" t="s">
        <v>34</v>
      </c>
      <c r="AF82" s="454" t="s">
        <v>35</v>
      </c>
      <c r="AG82" s="530">
        <v>85</v>
      </c>
      <c r="AH82" s="461"/>
      <c r="AI82" s="462">
        <f>AI58</f>
        <v>7.71</v>
      </c>
      <c r="AJ82" s="532">
        <f t="shared" si="17"/>
        <v>1.02</v>
      </c>
      <c r="AK82" s="463"/>
      <c r="AL82" s="464">
        <f t="shared" si="18"/>
        <v>8.73</v>
      </c>
    </row>
    <row r="83" spans="1:38" ht="15">
      <c r="A83" s="451">
        <v>70</v>
      </c>
      <c r="B83" s="452"/>
      <c r="C83" s="453">
        <v>4</v>
      </c>
      <c r="D83" s="454">
        <v>1978</v>
      </c>
      <c r="E83" s="454" t="s">
        <v>28</v>
      </c>
      <c r="F83" s="454">
        <v>2</v>
      </c>
      <c r="G83" s="454" t="s">
        <v>29</v>
      </c>
      <c r="H83" s="455">
        <f t="shared" si="19"/>
        <v>335.83187390542906</v>
      </c>
      <c r="I83" s="455">
        <v>1457</v>
      </c>
      <c r="J83" s="455">
        <f t="shared" si="15"/>
        <v>399.5</v>
      </c>
      <c r="K83" s="456">
        <v>372.2</v>
      </c>
      <c r="L83" s="456"/>
      <c r="M83" s="518">
        <v>0</v>
      </c>
      <c r="N83" s="458">
        <v>8</v>
      </c>
      <c r="O83" s="453">
        <v>0</v>
      </c>
      <c r="P83" s="453">
        <v>1</v>
      </c>
      <c r="Q83" s="455">
        <v>27.3</v>
      </c>
      <c r="R83" s="455">
        <f t="shared" si="16"/>
        <v>0</v>
      </c>
      <c r="S83" s="455"/>
      <c r="T83" s="455"/>
      <c r="U83" s="459"/>
      <c r="V83" s="455"/>
      <c r="W83" s="455"/>
      <c r="X83" s="459" t="s">
        <v>30</v>
      </c>
      <c r="Y83" s="459" t="s">
        <v>31</v>
      </c>
      <c r="Z83" s="460" t="s">
        <v>32</v>
      </c>
      <c r="AA83" s="460" t="s">
        <v>32</v>
      </c>
      <c r="AB83" s="460" t="s">
        <v>32</v>
      </c>
      <c r="AC83" s="460" t="s">
        <v>52</v>
      </c>
      <c r="AD83" s="454" t="s">
        <v>33</v>
      </c>
      <c r="AE83" s="454" t="s">
        <v>34</v>
      </c>
      <c r="AF83" s="454" t="s">
        <v>35</v>
      </c>
      <c r="AG83" s="530">
        <v>200</v>
      </c>
      <c r="AH83" s="461"/>
      <c r="AI83" s="462">
        <f>AI81</f>
        <v>7.52</v>
      </c>
      <c r="AJ83" s="532">
        <f t="shared" si="17"/>
        <v>1.02</v>
      </c>
      <c r="AK83" s="463"/>
      <c r="AL83" s="464">
        <f t="shared" si="18"/>
        <v>8.54</v>
      </c>
    </row>
    <row r="84" spans="1:38" ht="15">
      <c r="A84" s="451">
        <v>71</v>
      </c>
      <c r="B84" s="452"/>
      <c r="C84" s="453">
        <v>5</v>
      </c>
      <c r="D84" s="454">
        <v>1962</v>
      </c>
      <c r="E84" s="454" t="s">
        <v>28</v>
      </c>
      <c r="F84" s="454">
        <v>2</v>
      </c>
      <c r="G84" s="454" t="s">
        <v>29</v>
      </c>
      <c r="H84" s="455">
        <f t="shared" si="19"/>
        <v>293.7162872154115</v>
      </c>
      <c r="I84" s="455">
        <v>1312</v>
      </c>
      <c r="J84" s="455">
        <f t="shared" si="15"/>
        <v>349.4</v>
      </c>
      <c r="K84" s="456">
        <v>316.4</v>
      </c>
      <c r="L84" s="456"/>
      <c r="M84" s="518">
        <v>158.7</v>
      </c>
      <c r="N84" s="458">
        <v>8</v>
      </c>
      <c r="O84" s="453">
        <v>4</v>
      </c>
      <c r="P84" s="453">
        <v>1</v>
      </c>
      <c r="Q84" s="455">
        <v>33</v>
      </c>
      <c r="R84" s="455">
        <f t="shared" si="16"/>
        <v>0</v>
      </c>
      <c r="S84" s="455"/>
      <c r="T84" s="455"/>
      <c r="U84" s="459"/>
      <c r="V84" s="455"/>
      <c r="W84" s="455"/>
      <c r="X84" s="459" t="s">
        <v>30</v>
      </c>
      <c r="Y84" s="459" t="s">
        <v>31</v>
      </c>
      <c r="Z84" s="460" t="s">
        <v>32</v>
      </c>
      <c r="AA84" s="460" t="s">
        <v>32</v>
      </c>
      <c r="AB84" s="460" t="s">
        <v>32</v>
      </c>
      <c r="AC84" s="460" t="s">
        <v>52</v>
      </c>
      <c r="AD84" s="454" t="s">
        <v>33</v>
      </c>
      <c r="AE84" s="454" t="s">
        <v>34</v>
      </c>
      <c r="AF84" s="454" t="s">
        <v>35</v>
      </c>
      <c r="AG84" s="530">
        <v>85</v>
      </c>
      <c r="AH84" s="461"/>
      <c r="AI84" s="462">
        <f>AI82</f>
        <v>7.71</v>
      </c>
      <c r="AJ84" s="532">
        <f t="shared" si="17"/>
        <v>1.02</v>
      </c>
      <c r="AK84" s="463"/>
      <c r="AL84" s="464">
        <f t="shared" si="18"/>
        <v>8.73</v>
      </c>
    </row>
    <row r="85" spans="1:38" ht="15">
      <c r="A85" s="451">
        <v>72</v>
      </c>
      <c r="B85" s="452"/>
      <c r="C85" s="453">
        <v>6</v>
      </c>
      <c r="D85" s="454">
        <v>1977</v>
      </c>
      <c r="E85" s="454" t="s">
        <v>28</v>
      </c>
      <c r="F85" s="454">
        <v>2</v>
      </c>
      <c r="G85" s="454" t="s">
        <v>29</v>
      </c>
      <c r="H85" s="455">
        <f t="shared" si="19"/>
        <v>344.23817863397545</v>
      </c>
      <c r="I85" s="455">
        <v>1445</v>
      </c>
      <c r="J85" s="455">
        <f t="shared" si="15"/>
        <v>409.5</v>
      </c>
      <c r="K85" s="456">
        <v>380.7</v>
      </c>
      <c r="L85" s="456"/>
      <c r="M85" s="518">
        <v>101.6</v>
      </c>
      <c r="N85" s="458">
        <v>8</v>
      </c>
      <c r="O85" s="453">
        <v>2</v>
      </c>
      <c r="P85" s="453">
        <v>1</v>
      </c>
      <c r="Q85" s="455">
        <v>28.8</v>
      </c>
      <c r="R85" s="455">
        <f t="shared" si="16"/>
        <v>0</v>
      </c>
      <c r="S85" s="455"/>
      <c r="T85" s="455"/>
      <c r="U85" s="459"/>
      <c r="V85" s="455"/>
      <c r="W85" s="455"/>
      <c r="X85" s="459" t="s">
        <v>30</v>
      </c>
      <c r="Y85" s="459" t="s">
        <v>31</v>
      </c>
      <c r="Z85" s="460" t="s">
        <v>32</v>
      </c>
      <c r="AA85" s="460" t="s">
        <v>32</v>
      </c>
      <c r="AB85" s="460" t="s">
        <v>32</v>
      </c>
      <c r="AC85" s="460" t="s">
        <v>52</v>
      </c>
      <c r="AD85" s="454" t="s">
        <v>33</v>
      </c>
      <c r="AE85" s="454" t="s">
        <v>34</v>
      </c>
      <c r="AF85" s="454" t="s">
        <v>35</v>
      </c>
      <c r="AG85" s="530">
        <v>200</v>
      </c>
      <c r="AH85" s="461"/>
      <c r="AI85" s="462">
        <f aca="true" t="shared" si="20" ref="AI85:AI90">AI84</f>
        <v>7.71</v>
      </c>
      <c r="AJ85" s="532">
        <f t="shared" si="17"/>
        <v>1.02</v>
      </c>
      <c r="AK85" s="463"/>
      <c r="AL85" s="464">
        <f t="shared" si="18"/>
        <v>8.73</v>
      </c>
    </row>
    <row r="86" spans="1:38" ht="15">
      <c r="A86" s="451">
        <v>73</v>
      </c>
      <c r="B86" s="452"/>
      <c r="C86" s="453">
        <v>7</v>
      </c>
      <c r="D86" s="454">
        <v>1968</v>
      </c>
      <c r="E86" s="454" t="s">
        <v>28</v>
      </c>
      <c r="F86" s="454">
        <v>2</v>
      </c>
      <c r="G86" s="454" t="s">
        <v>29</v>
      </c>
      <c r="H86" s="455">
        <f t="shared" si="19"/>
        <v>287.5796847635727</v>
      </c>
      <c r="I86" s="455">
        <v>1337</v>
      </c>
      <c r="J86" s="455">
        <f t="shared" si="15"/>
        <v>342.1</v>
      </c>
      <c r="K86" s="456">
        <v>304.3</v>
      </c>
      <c r="L86" s="456"/>
      <c r="M86" s="518">
        <v>119.6</v>
      </c>
      <c r="N86" s="458">
        <v>9</v>
      </c>
      <c r="O86" s="453">
        <v>4</v>
      </c>
      <c r="P86" s="453">
        <v>1</v>
      </c>
      <c r="Q86" s="455">
        <v>37.8</v>
      </c>
      <c r="R86" s="455">
        <f t="shared" si="16"/>
        <v>0</v>
      </c>
      <c r="S86" s="455"/>
      <c r="T86" s="455"/>
      <c r="U86" s="459"/>
      <c r="V86" s="455"/>
      <c r="W86" s="455"/>
      <c r="X86" s="459" t="s">
        <v>30</v>
      </c>
      <c r="Y86" s="459" t="s">
        <v>31</v>
      </c>
      <c r="Z86" s="460" t="s">
        <v>32</v>
      </c>
      <c r="AA86" s="460" t="s">
        <v>32</v>
      </c>
      <c r="AB86" s="460" t="s">
        <v>32</v>
      </c>
      <c r="AC86" s="460" t="s">
        <v>52</v>
      </c>
      <c r="AD86" s="454" t="s">
        <v>33</v>
      </c>
      <c r="AE86" s="454" t="s">
        <v>34</v>
      </c>
      <c r="AF86" s="454" t="s">
        <v>35</v>
      </c>
      <c r="AG86" s="530">
        <v>85</v>
      </c>
      <c r="AH86" s="461"/>
      <c r="AI86" s="462">
        <f t="shared" si="20"/>
        <v>7.71</v>
      </c>
      <c r="AJ86" s="532">
        <f t="shared" si="17"/>
        <v>1.02</v>
      </c>
      <c r="AK86" s="463"/>
      <c r="AL86" s="464">
        <f t="shared" si="18"/>
        <v>8.73</v>
      </c>
    </row>
    <row r="87" spans="1:38" ht="15">
      <c r="A87" s="451">
        <v>74</v>
      </c>
      <c r="B87" s="452"/>
      <c r="C87" s="453">
        <v>8</v>
      </c>
      <c r="D87" s="454">
        <v>1974</v>
      </c>
      <c r="E87" s="454" t="s">
        <v>28</v>
      </c>
      <c r="F87" s="454">
        <v>2</v>
      </c>
      <c r="G87" s="454" t="s">
        <v>29</v>
      </c>
      <c r="H87" s="455">
        <f t="shared" si="19"/>
        <v>338.2697022767075</v>
      </c>
      <c r="I87" s="455">
        <v>1430</v>
      </c>
      <c r="J87" s="455">
        <f t="shared" si="15"/>
        <v>402.4</v>
      </c>
      <c r="K87" s="456">
        <v>374.5</v>
      </c>
      <c r="L87" s="456"/>
      <c r="M87" s="518">
        <v>44.9</v>
      </c>
      <c r="N87" s="458">
        <v>8</v>
      </c>
      <c r="O87" s="453">
        <v>1</v>
      </c>
      <c r="P87" s="453">
        <v>1</v>
      </c>
      <c r="Q87" s="455">
        <v>27.9</v>
      </c>
      <c r="R87" s="455">
        <f t="shared" si="16"/>
        <v>0</v>
      </c>
      <c r="S87" s="455"/>
      <c r="T87" s="455"/>
      <c r="U87" s="459"/>
      <c r="V87" s="455"/>
      <c r="W87" s="455"/>
      <c r="X87" s="459" t="s">
        <v>30</v>
      </c>
      <c r="Y87" s="459" t="s">
        <v>31</v>
      </c>
      <c r="Z87" s="460" t="s">
        <v>32</v>
      </c>
      <c r="AA87" s="460" t="s">
        <v>32</v>
      </c>
      <c r="AB87" s="460" t="s">
        <v>32</v>
      </c>
      <c r="AC87" s="460" t="s">
        <v>52</v>
      </c>
      <c r="AD87" s="454" t="s">
        <v>33</v>
      </c>
      <c r="AE87" s="454" t="s">
        <v>34</v>
      </c>
      <c r="AF87" s="454" t="s">
        <v>35</v>
      </c>
      <c r="AG87" s="530">
        <v>200</v>
      </c>
      <c r="AH87" s="461"/>
      <c r="AI87" s="462">
        <f t="shared" si="20"/>
        <v>7.71</v>
      </c>
      <c r="AJ87" s="532">
        <f t="shared" si="17"/>
        <v>1.02</v>
      </c>
      <c r="AK87" s="463"/>
      <c r="AL87" s="464">
        <f t="shared" si="18"/>
        <v>8.73</v>
      </c>
    </row>
    <row r="88" spans="1:38" ht="15">
      <c r="A88" s="451">
        <v>75</v>
      </c>
      <c r="B88" s="452"/>
      <c r="C88" s="453">
        <v>9</v>
      </c>
      <c r="D88" s="454">
        <v>1970</v>
      </c>
      <c r="E88" s="454" t="s">
        <v>28</v>
      </c>
      <c r="F88" s="454">
        <v>2</v>
      </c>
      <c r="G88" s="454" t="s">
        <v>29</v>
      </c>
      <c r="H88" s="455">
        <f t="shared" si="19"/>
        <v>316.3292469352014</v>
      </c>
      <c r="I88" s="455">
        <v>1323</v>
      </c>
      <c r="J88" s="455">
        <f t="shared" si="15"/>
        <v>376.3</v>
      </c>
      <c r="K88" s="456">
        <v>340.7</v>
      </c>
      <c r="L88" s="456"/>
      <c r="M88" s="518">
        <v>211.8</v>
      </c>
      <c r="N88" s="458">
        <v>8</v>
      </c>
      <c r="O88" s="453">
        <v>5</v>
      </c>
      <c r="P88" s="453">
        <v>1</v>
      </c>
      <c r="Q88" s="455">
        <v>35.6</v>
      </c>
      <c r="R88" s="455">
        <f t="shared" si="16"/>
        <v>0</v>
      </c>
      <c r="S88" s="455"/>
      <c r="T88" s="455"/>
      <c r="U88" s="459"/>
      <c r="V88" s="455"/>
      <c r="W88" s="455"/>
      <c r="X88" s="459" t="s">
        <v>30</v>
      </c>
      <c r="Y88" s="459" t="s">
        <v>31</v>
      </c>
      <c r="Z88" s="460" t="s">
        <v>32</v>
      </c>
      <c r="AA88" s="460" t="s">
        <v>32</v>
      </c>
      <c r="AB88" s="460" t="s">
        <v>32</v>
      </c>
      <c r="AC88" s="460" t="s">
        <v>52</v>
      </c>
      <c r="AD88" s="454" t="s">
        <v>33</v>
      </c>
      <c r="AE88" s="454" t="s">
        <v>34</v>
      </c>
      <c r="AF88" s="454" t="s">
        <v>35</v>
      </c>
      <c r="AG88" s="530">
        <v>85</v>
      </c>
      <c r="AH88" s="461"/>
      <c r="AI88" s="462">
        <f t="shared" si="20"/>
        <v>7.71</v>
      </c>
      <c r="AJ88" s="532">
        <f t="shared" si="17"/>
        <v>1.02</v>
      </c>
      <c r="AK88" s="463"/>
      <c r="AL88" s="464">
        <f t="shared" si="18"/>
        <v>8.73</v>
      </c>
    </row>
    <row r="89" spans="1:38" ht="15">
      <c r="A89" s="451">
        <v>76</v>
      </c>
      <c r="B89" s="452"/>
      <c r="C89" s="453">
        <v>10</v>
      </c>
      <c r="D89" s="454">
        <v>1973</v>
      </c>
      <c r="E89" s="454" t="s">
        <v>28</v>
      </c>
      <c r="F89" s="454">
        <v>2</v>
      </c>
      <c r="G89" s="454" t="s">
        <v>29</v>
      </c>
      <c r="H89" s="455">
        <f t="shared" si="19"/>
        <v>340.45534150612957</v>
      </c>
      <c r="I89" s="455">
        <v>1351</v>
      </c>
      <c r="J89" s="455">
        <f t="shared" si="15"/>
        <v>405</v>
      </c>
      <c r="K89" s="456">
        <v>377.1</v>
      </c>
      <c r="L89" s="456"/>
      <c r="M89" s="518">
        <v>43.3</v>
      </c>
      <c r="N89" s="458">
        <v>8</v>
      </c>
      <c r="O89" s="453">
        <v>1</v>
      </c>
      <c r="P89" s="453">
        <v>1</v>
      </c>
      <c r="Q89" s="455">
        <v>27.9</v>
      </c>
      <c r="R89" s="455">
        <f t="shared" si="16"/>
        <v>0</v>
      </c>
      <c r="S89" s="455"/>
      <c r="T89" s="455"/>
      <c r="U89" s="459"/>
      <c r="V89" s="455"/>
      <c r="W89" s="455"/>
      <c r="X89" s="459" t="s">
        <v>30</v>
      </c>
      <c r="Y89" s="459" t="s">
        <v>31</v>
      </c>
      <c r="Z89" s="460" t="s">
        <v>32</v>
      </c>
      <c r="AA89" s="460" t="s">
        <v>32</v>
      </c>
      <c r="AB89" s="460" t="s">
        <v>32</v>
      </c>
      <c r="AC89" s="460" t="s">
        <v>52</v>
      </c>
      <c r="AD89" s="454" t="s">
        <v>33</v>
      </c>
      <c r="AE89" s="454" t="s">
        <v>34</v>
      </c>
      <c r="AF89" s="454" t="s">
        <v>35</v>
      </c>
      <c r="AG89" s="530">
        <v>200</v>
      </c>
      <c r="AH89" s="461"/>
      <c r="AI89" s="462">
        <f t="shared" si="20"/>
        <v>7.71</v>
      </c>
      <c r="AJ89" s="532">
        <f t="shared" si="17"/>
        <v>1.02</v>
      </c>
      <c r="AK89" s="463"/>
      <c r="AL89" s="464">
        <f t="shared" si="18"/>
        <v>8.73</v>
      </c>
    </row>
    <row r="90" spans="1:38" ht="15">
      <c r="A90" s="451">
        <v>77</v>
      </c>
      <c r="B90" s="452"/>
      <c r="C90" s="453">
        <v>11</v>
      </c>
      <c r="D90" s="454">
        <v>1973</v>
      </c>
      <c r="E90" s="454" t="s">
        <v>28</v>
      </c>
      <c r="F90" s="454">
        <v>2</v>
      </c>
      <c r="G90" s="454" t="s">
        <v>29</v>
      </c>
      <c r="H90" s="524">
        <v>340</v>
      </c>
      <c r="I90" s="455">
        <v>1403</v>
      </c>
      <c r="J90" s="455">
        <f t="shared" si="15"/>
        <v>399.70000000000005</v>
      </c>
      <c r="K90" s="456">
        <v>371.6</v>
      </c>
      <c r="L90" s="456"/>
      <c r="M90" s="518">
        <v>56.2</v>
      </c>
      <c r="N90" s="458">
        <v>8</v>
      </c>
      <c r="O90" s="453">
        <v>1</v>
      </c>
      <c r="P90" s="453">
        <v>1</v>
      </c>
      <c r="Q90" s="455">
        <v>28.1</v>
      </c>
      <c r="R90" s="455">
        <f t="shared" si="16"/>
        <v>0</v>
      </c>
      <c r="S90" s="455"/>
      <c r="T90" s="455"/>
      <c r="U90" s="459"/>
      <c r="V90" s="455"/>
      <c r="W90" s="455"/>
      <c r="X90" s="459" t="s">
        <v>30</v>
      </c>
      <c r="Y90" s="459" t="s">
        <v>31</v>
      </c>
      <c r="Z90" s="460" t="s">
        <v>32</v>
      </c>
      <c r="AA90" s="460" t="s">
        <v>32</v>
      </c>
      <c r="AB90" s="460" t="s">
        <v>32</v>
      </c>
      <c r="AC90" s="460" t="s">
        <v>52</v>
      </c>
      <c r="AD90" s="454" t="s">
        <v>33</v>
      </c>
      <c r="AE90" s="454" t="s">
        <v>34</v>
      </c>
      <c r="AF90" s="454" t="s">
        <v>35</v>
      </c>
      <c r="AG90" s="530">
        <v>85</v>
      </c>
      <c r="AH90" s="461"/>
      <c r="AI90" s="462">
        <f t="shared" si="20"/>
        <v>7.71</v>
      </c>
      <c r="AJ90" s="532">
        <f t="shared" si="17"/>
        <v>1.02</v>
      </c>
      <c r="AK90" s="463"/>
      <c r="AL90" s="464">
        <f t="shared" si="18"/>
        <v>8.73</v>
      </c>
    </row>
    <row r="91" spans="1:38" ht="15">
      <c r="A91" s="451">
        <v>78</v>
      </c>
      <c r="B91" s="452"/>
      <c r="C91" s="453">
        <v>12</v>
      </c>
      <c r="D91" s="454">
        <v>1980</v>
      </c>
      <c r="E91" s="454" t="s">
        <v>28</v>
      </c>
      <c r="F91" s="454">
        <v>2</v>
      </c>
      <c r="G91" s="454" t="s">
        <v>29</v>
      </c>
      <c r="H91" s="455">
        <f>J91*288/342.6</f>
        <v>338.01751313485113</v>
      </c>
      <c r="I91" s="455">
        <v>1495</v>
      </c>
      <c r="J91" s="455">
        <f t="shared" si="15"/>
        <v>402.1</v>
      </c>
      <c r="K91" s="456">
        <v>374.1</v>
      </c>
      <c r="L91" s="456"/>
      <c r="M91" s="518">
        <v>143</v>
      </c>
      <c r="N91" s="458">
        <v>8</v>
      </c>
      <c r="O91" s="453">
        <v>3</v>
      </c>
      <c r="P91" s="453">
        <v>1</v>
      </c>
      <c r="Q91" s="455">
        <v>28</v>
      </c>
      <c r="R91" s="455">
        <f t="shared" si="16"/>
        <v>0</v>
      </c>
      <c r="S91" s="455"/>
      <c r="T91" s="455"/>
      <c r="U91" s="459"/>
      <c r="V91" s="455"/>
      <c r="W91" s="455"/>
      <c r="X91" s="459" t="s">
        <v>30</v>
      </c>
      <c r="Y91" s="459" t="s">
        <v>31</v>
      </c>
      <c r="Z91" s="460" t="s">
        <v>32</v>
      </c>
      <c r="AA91" s="460" t="s">
        <v>32</v>
      </c>
      <c r="AB91" s="460" t="s">
        <v>32</v>
      </c>
      <c r="AC91" s="460" t="s">
        <v>52</v>
      </c>
      <c r="AD91" s="454" t="s">
        <v>33</v>
      </c>
      <c r="AE91" s="454" t="s">
        <v>34</v>
      </c>
      <c r="AF91" s="454" t="s">
        <v>35</v>
      </c>
      <c r="AG91" s="530">
        <v>200</v>
      </c>
      <c r="AH91" s="461"/>
      <c r="AI91" s="462">
        <f>AI83</f>
        <v>7.52</v>
      </c>
      <c r="AJ91" s="532">
        <f t="shared" si="17"/>
        <v>1.02</v>
      </c>
      <c r="AK91" s="463"/>
      <c r="AL91" s="464">
        <f t="shared" si="18"/>
        <v>8.54</v>
      </c>
    </row>
    <row r="92" spans="1:38" ht="15">
      <c r="A92" s="451">
        <v>79</v>
      </c>
      <c r="B92" s="452"/>
      <c r="C92" s="453">
        <v>13</v>
      </c>
      <c r="D92" s="454">
        <v>1973</v>
      </c>
      <c r="E92" s="454" t="s">
        <v>28</v>
      </c>
      <c r="F92" s="454">
        <v>2</v>
      </c>
      <c r="G92" s="454" t="s">
        <v>29</v>
      </c>
      <c r="H92" s="455">
        <f>J92*288/342.6</f>
        <v>337.092819614711</v>
      </c>
      <c r="I92" s="455">
        <v>1406</v>
      </c>
      <c r="J92" s="455">
        <f t="shared" si="15"/>
        <v>401</v>
      </c>
      <c r="K92" s="456">
        <v>373.6</v>
      </c>
      <c r="L92" s="456"/>
      <c r="M92" s="518">
        <v>87.6</v>
      </c>
      <c r="N92" s="458">
        <v>8</v>
      </c>
      <c r="O92" s="453">
        <v>2</v>
      </c>
      <c r="P92" s="453">
        <v>1</v>
      </c>
      <c r="Q92" s="455">
        <v>27.4</v>
      </c>
      <c r="R92" s="455">
        <f t="shared" si="16"/>
        <v>0</v>
      </c>
      <c r="S92" s="455"/>
      <c r="T92" s="455"/>
      <c r="U92" s="459"/>
      <c r="V92" s="455"/>
      <c r="W92" s="455"/>
      <c r="X92" s="459" t="s">
        <v>30</v>
      </c>
      <c r="Y92" s="459" t="s">
        <v>31</v>
      </c>
      <c r="Z92" s="460" t="s">
        <v>32</v>
      </c>
      <c r="AA92" s="460" t="s">
        <v>32</v>
      </c>
      <c r="AB92" s="460" t="s">
        <v>32</v>
      </c>
      <c r="AC92" s="460" t="s">
        <v>52</v>
      </c>
      <c r="AD92" s="454" t="s">
        <v>33</v>
      </c>
      <c r="AE92" s="454" t="s">
        <v>34</v>
      </c>
      <c r="AF92" s="454" t="s">
        <v>35</v>
      </c>
      <c r="AG92" s="530">
        <v>85</v>
      </c>
      <c r="AH92" s="461"/>
      <c r="AI92" s="462">
        <f>AI90</f>
        <v>7.71</v>
      </c>
      <c r="AJ92" s="532">
        <f t="shared" si="17"/>
        <v>1.02</v>
      </c>
      <c r="AK92" s="463"/>
      <c r="AL92" s="464">
        <f t="shared" si="18"/>
        <v>8.73</v>
      </c>
    </row>
    <row r="93" spans="1:38" ht="15.75" thickBot="1">
      <c r="A93" s="533">
        <v>80</v>
      </c>
      <c r="B93" s="534"/>
      <c r="C93" s="535">
        <v>15</v>
      </c>
      <c r="D93" s="536">
        <v>1984</v>
      </c>
      <c r="E93" s="536" t="s">
        <v>28</v>
      </c>
      <c r="F93" s="536">
        <v>1</v>
      </c>
      <c r="G93" s="536" t="s">
        <v>29</v>
      </c>
      <c r="H93" s="537">
        <f>J93*137/123.3</f>
        <v>206.22222222222223</v>
      </c>
      <c r="I93" s="537">
        <v>239.8</v>
      </c>
      <c r="J93" s="537">
        <f t="shared" si="15"/>
        <v>185.6</v>
      </c>
      <c r="K93" s="538">
        <v>170.5</v>
      </c>
      <c r="L93" s="538"/>
      <c r="M93" s="539">
        <v>64.4</v>
      </c>
      <c r="N93" s="540">
        <v>5</v>
      </c>
      <c r="O93" s="535">
        <v>2</v>
      </c>
      <c r="P93" s="535">
        <v>1</v>
      </c>
      <c r="Q93" s="537">
        <v>15.1</v>
      </c>
      <c r="R93" s="537">
        <f t="shared" si="16"/>
        <v>0</v>
      </c>
      <c r="S93" s="537"/>
      <c r="T93" s="537"/>
      <c r="U93" s="541"/>
      <c r="V93" s="537"/>
      <c r="W93" s="537"/>
      <c r="X93" s="541" t="s">
        <v>30</v>
      </c>
      <c r="Y93" s="541" t="s">
        <v>31</v>
      </c>
      <c r="Z93" s="542" t="s">
        <v>32</v>
      </c>
      <c r="AA93" s="542" t="s">
        <v>32</v>
      </c>
      <c r="AB93" s="542" t="s">
        <v>32</v>
      </c>
      <c r="AC93" s="542" t="s">
        <v>52</v>
      </c>
      <c r="AD93" s="536" t="s">
        <v>33</v>
      </c>
      <c r="AE93" s="536" t="s">
        <v>34</v>
      </c>
      <c r="AF93" s="536" t="s">
        <v>35</v>
      </c>
      <c r="AG93" s="543">
        <v>85</v>
      </c>
      <c r="AH93" s="544"/>
      <c r="AI93" s="545">
        <v>8.23</v>
      </c>
      <c r="AJ93" s="546">
        <f t="shared" si="17"/>
        <v>1.02</v>
      </c>
      <c r="AK93" s="547"/>
      <c r="AL93" s="548">
        <f t="shared" si="18"/>
        <v>9.25</v>
      </c>
    </row>
    <row r="94" spans="1:32" ht="15">
      <c r="A94" s="549"/>
      <c r="B94" s="549"/>
      <c r="C94" s="549"/>
      <c r="D94" s="549"/>
      <c r="E94" s="550"/>
      <c r="F94" s="550"/>
      <c r="G94" s="550"/>
      <c r="H94" s="551"/>
      <c r="I94" s="552"/>
      <c r="J94" s="553"/>
      <c r="K94" s="551">
        <f>K8-K11-K13-K17-SUM(K19:K22)-K30-K32-K34-K71-K74-K79-SUM(K81:K91)</f>
        <v>106780.12000000008</v>
      </c>
      <c r="L94" s="551"/>
      <c r="M94" s="551"/>
      <c r="N94" s="550"/>
      <c r="O94" s="554"/>
      <c r="P94" s="550"/>
      <c r="Q94" s="550"/>
      <c r="R94" s="550"/>
      <c r="S94" s="550"/>
      <c r="T94" s="550"/>
      <c r="U94" s="550"/>
      <c r="V94" s="550"/>
      <c r="W94" s="550"/>
      <c r="X94" s="550"/>
      <c r="Y94" s="550"/>
      <c r="Z94" s="550"/>
      <c r="AA94" s="550"/>
      <c r="AB94" s="550"/>
      <c r="AC94" s="550"/>
      <c r="AD94" s="549"/>
      <c r="AE94" s="555"/>
      <c r="AF94" s="556"/>
    </row>
    <row r="95" spans="1:34" ht="15" hidden="1">
      <c r="A95" s="501"/>
      <c r="B95" s="549"/>
      <c r="C95" s="501"/>
      <c r="D95" s="501"/>
      <c r="E95" s="558"/>
      <c r="F95" s="558">
        <v>1</v>
      </c>
      <c r="G95" s="558"/>
      <c r="H95" s="559"/>
      <c r="I95" s="560"/>
      <c r="J95" s="561"/>
      <c r="K95" s="562" t="e">
        <f>#REF!+#REF!+#REF!+#REF!+#REF!</f>
        <v>#REF!</v>
      </c>
      <c r="L95" s="562"/>
      <c r="M95" s="562"/>
      <c r="N95" s="563"/>
      <c r="O95" s="563"/>
      <c r="P95" s="563"/>
      <c r="Q95" s="563"/>
      <c r="R95" s="563"/>
      <c r="S95" s="563"/>
      <c r="T95" s="563"/>
      <c r="U95" s="563"/>
      <c r="V95" s="563"/>
      <c r="W95" s="563"/>
      <c r="X95" s="563"/>
      <c r="Y95" s="563"/>
      <c r="Z95" s="563"/>
      <c r="AA95" s="563"/>
      <c r="AB95" s="563"/>
      <c r="AC95" s="563"/>
      <c r="AD95" s="564"/>
      <c r="AE95" s="565"/>
      <c r="AF95" s="566"/>
      <c r="AG95" s="565">
        <f>AG93</f>
        <v>85</v>
      </c>
      <c r="AH95" s="565">
        <f>AH93</f>
        <v>0</v>
      </c>
    </row>
    <row r="96" spans="1:34" ht="15" hidden="1">
      <c r="A96" s="549"/>
      <c r="B96" s="567"/>
      <c r="C96" s="567"/>
      <c r="D96" s="567"/>
      <c r="E96" s="568"/>
      <c r="F96" s="569">
        <v>2</v>
      </c>
      <c r="G96" s="569"/>
      <c r="H96" s="570"/>
      <c r="I96" s="571"/>
      <c r="J96" s="572" t="s">
        <v>49</v>
      </c>
      <c r="K96" s="562" t="e">
        <f>SUM(#REF!)+#REF!+#REF!+#REF!+#REF!+SUM(#REF!)+#REF!+#REF!+SUM(#REF!)-#REF!</f>
        <v>#REF!</v>
      </c>
      <c r="L96" s="562"/>
      <c r="M96" s="562"/>
      <c r="N96" s="565">
        <f>SUM(N80:N92)+N77+N76+N72+N71+SUM(N56:N62)+N54+N53+SUM(N35:N40)-N76</f>
        <v>384</v>
      </c>
      <c r="O96" s="565"/>
      <c r="P96" s="565">
        <f>SUM(P80:P92)+P77+P76+P72+P71+SUM(P56:P62)+P54+P53+SUM(P35:P40)-P76</f>
        <v>66</v>
      </c>
      <c r="Q96" s="565">
        <f>SUM(Q80:Q92)+Q77+Q76+Q72+Q71+SUM(Q56:Q62)+Q54+Q53+SUM(Q35:Q40)-Q76</f>
        <v>1403.7</v>
      </c>
      <c r="R96" s="565"/>
      <c r="S96" s="565"/>
      <c r="T96" s="565"/>
      <c r="U96" s="565">
        <f>SUM(U80:U92)+U77+U76+U72+U71+SUM(U56:U62)+U54+U53+SUM(U35:U40)-U76</f>
        <v>2331.6</v>
      </c>
      <c r="V96" s="565">
        <f>SUM(V80:V92)+V77+V76+V72+V71+SUM(V56:V62)+V54+V53+SUM(V35:V40)-V76</f>
        <v>5907.4</v>
      </c>
      <c r="W96" s="565"/>
      <c r="X96" s="565" t="e">
        <f>SUM(X80:X92)+X77+X76+X72+X71+SUM(X56:X62)+X54+X53+SUM(X35:X40)-X76</f>
        <v>#VALUE!</v>
      </c>
      <c r="Y96" s="565" t="e">
        <f>SUM(Y80:Y92)+Y77+Y76+Y72+Y71+SUM(Y56:Y62)+Y54+Y53+SUM(Y35:Y40)-Y76</f>
        <v>#VALUE!</v>
      </c>
      <c r="Z96" s="565" t="e">
        <f>SUM(Z80:Z92)+Z77+Z76+Z72+Z71+SUM(Z56:Z62)+Z54+Z53+SUM(Z35:Z40)-Z76</f>
        <v>#VALUE!</v>
      </c>
      <c r="AA96" s="565" t="e">
        <f>SUM(AA80:AA92)+AA77+AA76+AA72+AA71+SUM(AA56:AA62)+AA54+AA53+SUM(AA35:AA40)-AA76</f>
        <v>#VALUE!</v>
      </c>
      <c r="AB96" s="565" t="e">
        <f>SUM(AB80:AB92)+AB77+AB76+AB72+AB71+SUM(AB56:AB62)+AB54+AB53+SUM(AB35:AB40)-AB76</f>
        <v>#VALUE!</v>
      </c>
      <c r="AC96" s="565"/>
      <c r="AD96" s="565" t="e">
        <f>SUM(AD80:AD92)+AD77+AD76+AD72+AD71+SUM(AD56:AD62)+AD54+AD53+SUM(AD35:AD40)-AD76</f>
        <v>#VALUE!</v>
      </c>
      <c r="AE96" s="565" t="e">
        <f>SUM(AE80:AE92)+AE77+AE76+AE72+AE71+SUM(AE56:AE62)+AE54+AE53+SUM(AE35:AE40)-AE76</f>
        <v>#VALUE!</v>
      </c>
      <c r="AF96" s="566" t="e">
        <f>SUM(AF80:AF92)+AF77+AF76+AF72+AF71+SUM(AF56:AF62)+AF54+AF53+SUM(AF35:AF40)-AF76</f>
        <v>#VALUE!</v>
      </c>
      <c r="AG96" s="565">
        <f>SUM(AG80:AG92)+AG77+AG76+AG72+AG71+SUM(AG56:AG62)+AG54+AG53+SUM(AG35:AG40)-AG76</f>
        <v>7321</v>
      </c>
      <c r="AH96" s="565">
        <f>SUM(AH80:AH92)+AH77+AH76+AH72+AH71+SUM(AH56:AH62)+AH54+AH53+SUM(AH35:AH40)-AH76</f>
        <v>4224</v>
      </c>
    </row>
    <row r="97" spans="1:34" ht="15" hidden="1">
      <c r="A97" s="501"/>
      <c r="B97" s="501"/>
      <c r="C97" s="501"/>
      <c r="D97" s="501"/>
      <c r="E97" s="558"/>
      <c r="F97" s="558">
        <v>3</v>
      </c>
      <c r="G97" s="558"/>
      <c r="H97" s="559"/>
      <c r="I97" s="560"/>
      <c r="J97" s="561"/>
      <c r="K97" s="573" t="e">
        <f>#REF!</f>
        <v>#REF!</v>
      </c>
      <c r="L97" s="573"/>
      <c r="M97" s="573"/>
      <c r="N97" s="563">
        <f>N79</f>
        <v>24</v>
      </c>
      <c r="O97" s="563"/>
      <c r="P97" s="563">
        <f>P79</f>
        <v>2</v>
      </c>
      <c r="Q97" s="563">
        <f>Q79</f>
        <v>102</v>
      </c>
      <c r="R97" s="563"/>
      <c r="S97" s="563"/>
      <c r="T97" s="563"/>
      <c r="U97" s="563">
        <f>U79</f>
        <v>0</v>
      </c>
      <c r="V97" s="563">
        <f>V79</f>
        <v>460</v>
      </c>
      <c r="W97" s="563"/>
      <c r="X97" s="563" t="str">
        <f>X79</f>
        <v>Ц</v>
      </c>
      <c r="Y97" s="563" t="str">
        <f>Y79</f>
        <v>ГВС</v>
      </c>
      <c r="Z97" s="563" t="str">
        <f>Z79</f>
        <v>+</v>
      </c>
      <c r="AA97" s="563" t="str">
        <f>AA79</f>
        <v>+</v>
      </c>
      <c r="AB97" s="563" t="str">
        <f>AB79</f>
        <v>+</v>
      </c>
      <c r="AC97" s="563"/>
      <c r="AD97" s="563" t="str">
        <f>AD79</f>
        <v>ПР</v>
      </c>
      <c r="AE97" s="563" t="str">
        <f>AE79</f>
        <v>Г/ПЛ</v>
      </c>
      <c r="AF97" s="563" t="str">
        <f>AF79</f>
        <v>СКР</v>
      </c>
      <c r="AG97" s="563">
        <f>AG79</f>
        <v>350</v>
      </c>
      <c r="AH97" s="563">
        <f>AH79</f>
        <v>0</v>
      </c>
    </row>
    <row r="98" spans="1:34" ht="15" hidden="1">
      <c r="A98" s="557"/>
      <c r="B98" s="501"/>
      <c r="C98" s="574" t="s">
        <v>50</v>
      </c>
      <c r="D98" s="558"/>
      <c r="E98" s="575"/>
      <c r="F98" s="575">
        <v>4</v>
      </c>
      <c r="G98" s="575"/>
      <c r="H98" s="576"/>
      <c r="I98" s="577" t="s">
        <v>51</v>
      </c>
      <c r="J98" s="561"/>
      <c r="K98" s="578" t="e">
        <f>#REF!+#REF!+#REF!+#REF!+#REF!</f>
        <v>#REF!</v>
      </c>
      <c r="L98" s="578"/>
      <c r="M98" s="578"/>
      <c r="N98" s="566">
        <f>N66+N65+N64+N63+N55</f>
        <v>94</v>
      </c>
      <c r="O98" s="566"/>
      <c r="P98" s="566">
        <f>P66+P65+P64+P63+P55</f>
        <v>6</v>
      </c>
      <c r="Q98" s="566">
        <f>Q66+Q65+Q64+Q63+Q55</f>
        <v>549.6</v>
      </c>
      <c r="R98" s="566"/>
      <c r="S98" s="566"/>
      <c r="T98" s="566"/>
      <c r="U98" s="566">
        <f>U66+U65+U64+U63+U55</f>
        <v>675.9000000000001</v>
      </c>
      <c r="V98" s="566">
        <f>V66+V65+V64+V63+V55</f>
        <v>1148.7</v>
      </c>
      <c r="W98" s="566"/>
      <c r="X98" s="566" t="e">
        <f>X66+X65+X64+X63+X55</f>
        <v>#VALUE!</v>
      </c>
      <c r="Y98" s="566" t="e">
        <f>Y66+Y65+Y64+Y63+Y55</f>
        <v>#VALUE!</v>
      </c>
      <c r="Z98" s="566" t="e">
        <f>Z66+Z65+Z64+Z63+Z55</f>
        <v>#VALUE!</v>
      </c>
      <c r="AA98" s="566" t="e">
        <f>AA66+AA65+AA64+AA63+AA55</f>
        <v>#VALUE!</v>
      </c>
      <c r="AB98" s="566" t="e">
        <f>AB66+AB65+AB64+AB63+AB55</f>
        <v>#VALUE!</v>
      </c>
      <c r="AC98" s="566"/>
      <c r="AD98" s="566" t="e">
        <f>AD66+AD65+AD64+AD63+AD55</f>
        <v>#VALUE!</v>
      </c>
      <c r="AE98" s="566" t="e">
        <f>AE66+AE65+AE64+AE63+AE55</f>
        <v>#VALUE!</v>
      </c>
      <c r="AF98" s="566" t="e">
        <f>AF66+AF65+AF64+AF63+AF55</f>
        <v>#VALUE!</v>
      </c>
      <c r="AG98" s="566">
        <f>AG66+AG65+AG64+AG63+AG55</f>
        <v>2464</v>
      </c>
      <c r="AH98" s="566">
        <f>AH66+AH65+AH64+AH63+AH55</f>
        <v>1257</v>
      </c>
    </row>
    <row r="99" spans="1:34" ht="15" hidden="1">
      <c r="A99" s="557"/>
      <c r="B99" s="501"/>
      <c r="C99" s="579"/>
      <c r="D99" s="558"/>
      <c r="E99" s="575"/>
      <c r="F99" s="575">
        <v>5</v>
      </c>
      <c r="G99" s="575"/>
      <c r="H99" s="580"/>
      <c r="I99" s="581"/>
      <c r="J99" s="561"/>
      <c r="K99" s="578" t="e">
        <f>#REF!+SUM(#REF!)+SUM(#REF!)+SUM(#REF!)-#REF!</f>
        <v>#REF!</v>
      </c>
      <c r="L99" s="578"/>
      <c r="M99" s="578"/>
      <c r="N99" s="566">
        <f>N74+SUM(N41:N52)+SUM(N10:N13)+SUM(N15:N34)-N25</f>
        <v>2554</v>
      </c>
      <c r="O99" s="566"/>
      <c r="P99" s="566">
        <f>P74+SUM(P41:P52)+SUM(P10:P13)+SUM(P15:P34)-P25</f>
        <v>155</v>
      </c>
      <c r="Q99" s="566">
        <f>Q74+SUM(Q41:Q52)+SUM(Q10:Q13)+SUM(Q15:Q34)-Q25</f>
        <v>11892.1</v>
      </c>
      <c r="R99" s="566"/>
      <c r="S99" s="566"/>
      <c r="T99" s="566"/>
      <c r="U99" s="566">
        <f>U74+SUM(U41:U52)+SUM(U10:U13)+SUM(U15:U34)-U25</f>
        <v>5902.5</v>
      </c>
      <c r="V99" s="566">
        <f>V74+SUM(V41:V52)+SUM(V10:V13)+SUM(V15:V34)-V25</f>
        <v>20671.679999999997</v>
      </c>
      <c r="W99" s="566"/>
      <c r="X99" s="566" t="e">
        <f>X74+SUM(X41:X52)+SUM(X10:X13)+SUM(X15:X34)-X25</f>
        <v>#VALUE!</v>
      </c>
      <c r="Y99" s="566" t="e">
        <f>Y74+SUM(Y41:Y52)+SUM(Y10:Y13)+SUM(Y15:Y34)-Y25</f>
        <v>#VALUE!</v>
      </c>
      <c r="Z99" s="566" t="e">
        <f>Z74+SUM(Z41:Z52)+SUM(Z10:Z13)+SUM(Z15:Z34)-Z25</f>
        <v>#VALUE!</v>
      </c>
      <c r="AA99" s="566" t="e">
        <f>AA74+SUM(AA41:AA52)+SUM(AA10:AA13)+SUM(AA15:AA34)-AA25</f>
        <v>#VALUE!</v>
      </c>
      <c r="AB99" s="566" t="e">
        <f>AB74+SUM(AB41:AB52)+SUM(AB10:AB13)+SUM(AB15:AB34)-AB25</f>
        <v>#VALUE!</v>
      </c>
      <c r="AC99" s="566"/>
      <c r="AD99" s="566" t="e">
        <f>AD74+SUM(AD41:AD52)+SUM(AD10:AD13)+SUM(AD15:AD34)-AD25</f>
        <v>#VALUE!</v>
      </c>
      <c r="AE99" s="566" t="e">
        <f>AE74+SUM(AE41:AE52)+SUM(AE10:AE13)+SUM(AE15:AE34)-AE25</f>
        <v>#VALUE!</v>
      </c>
      <c r="AF99" s="566" t="e">
        <f>AF74+SUM(AF41:AF52)+SUM(AF10:AF13)+SUM(AF15:AF34)-AF25</f>
        <v>#VALUE!</v>
      </c>
      <c r="AG99" s="566">
        <f>AG74+SUM(AG41:AG52)+SUM(AG10:AG13)+SUM(AG15:AG34)-AG25</f>
        <v>27469</v>
      </c>
      <c r="AH99" s="566">
        <f>AH74+SUM(AH41:AH52)+SUM(AH10:AH13)+SUM(AH15:AH34)-AH25</f>
        <v>23111</v>
      </c>
    </row>
    <row r="100" spans="1:34" ht="15" hidden="1">
      <c r="A100" s="557"/>
      <c r="B100" s="550" t="s">
        <v>30</v>
      </c>
      <c r="C100" s="558" t="s">
        <v>52</v>
      </c>
      <c r="D100" s="582" t="s">
        <v>53</v>
      </c>
      <c r="E100" s="575"/>
      <c r="F100" s="575">
        <v>6</v>
      </c>
      <c r="G100" s="575"/>
      <c r="H100" s="583" t="s">
        <v>37</v>
      </c>
      <c r="I100" s="584" t="s">
        <v>52</v>
      </c>
      <c r="J100" s="585" t="s">
        <v>54</v>
      </c>
      <c r="K100" s="578" t="e">
        <f>#REF!</f>
        <v>#REF!</v>
      </c>
      <c r="L100" s="578"/>
      <c r="M100" s="578"/>
      <c r="N100" s="566">
        <f>N14</f>
        <v>36</v>
      </c>
      <c r="O100" s="566"/>
      <c r="P100" s="566">
        <f>P14</f>
        <v>2</v>
      </c>
      <c r="Q100" s="566">
        <f>Q14</f>
        <v>220.6</v>
      </c>
      <c r="R100" s="566"/>
      <c r="S100" s="566"/>
      <c r="T100" s="566"/>
      <c r="U100" s="566">
        <f>U14</f>
        <v>0</v>
      </c>
      <c r="V100" s="566">
        <f>V14</f>
        <v>317.3</v>
      </c>
      <c r="W100" s="566"/>
      <c r="X100" s="566" t="str">
        <f>X14</f>
        <v>Ц</v>
      </c>
      <c r="Y100" s="566" t="str">
        <f>Y14</f>
        <v>ГВС</v>
      </c>
      <c r="Z100" s="566" t="str">
        <f>Z14</f>
        <v>+</v>
      </c>
      <c r="AA100" s="566" t="str">
        <f>AA14</f>
        <v>+</v>
      </c>
      <c r="AB100" s="566" t="str">
        <f>AB14</f>
        <v>+</v>
      </c>
      <c r="AC100" s="566"/>
      <c r="AD100" s="566" t="str">
        <f>AD14</f>
        <v>ПР</v>
      </c>
      <c r="AE100" s="566" t="str">
        <f>AE14</f>
        <v>Г/ПЛ</v>
      </c>
      <c r="AF100" s="566" t="str">
        <f>AF14</f>
        <v>СКР</v>
      </c>
      <c r="AG100" s="566">
        <f>AG14</f>
        <v>239</v>
      </c>
      <c r="AH100" s="566">
        <f>AH14</f>
        <v>164</v>
      </c>
    </row>
    <row r="101" spans="1:34" ht="15" hidden="1">
      <c r="A101" s="557"/>
      <c r="B101" s="550"/>
      <c r="C101" s="558"/>
      <c r="D101" s="582"/>
      <c r="E101" s="575"/>
      <c r="F101" s="575">
        <v>7</v>
      </c>
      <c r="G101" s="575"/>
      <c r="H101" s="583"/>
      <c r="I101" s="584"/>
      <c r="J101" s="585"/>
      <c r="K101" s="578"/>
      <c r="L101" s="578"/>
      <c r="M101" s="578"/>
      <c r="N101" s="566"/>
      <c r="O101" s="566"/>
      <c r="P101" s="566"/>
      <c r="Q101" s="566"/>
      <c r="R101" s="566"/>
      <c r="S101" s="566"/>
      <c r="T101" s="566"/>
      <c r="U101" s="566"/>
      <c r="V101" s="566"/>
      <c r="W101" s="566"/>
      <c r="X101" s="566"/>
      <c r="Y101" s="566"/>
      <c r="Z101" s="566"/>
      <c r="AA101" s="566"/>
      <c r="AB101" s="566"/>
      <c r="AC101" s="566"/>
      <c r="AD101" s="566"/>
      <c r="AE101" s="566"/>
      <c r="AF101" s="566"/>
      <c r="AG101" s="566"/>
      <c r="AH101" s="566"/>
    </row>
    <row r="102" spans="1:34" ht="15" hidden="1">
      <c r="A102" s="557"/>
      <c r="B102" s="550"/>
      <c r="C102" s="558"/>
      <c r="D102" s="582"/>
      <c r="E102" s="575"/>
      <c r="F102" s="575">
        <v>8</v>
      </c>
      <c r="G102" s="575"/>
      <c r="H102" s="583"/>
      <c r="I102" s="584"/>
      <c r="J102" s="585"/>
      <c r="K102" s="578"/>
      <c r="L102" s="578"/>
      <c r="M102" s="578"/>
      <c r="N102" s="566"/>
      <c r="O102" s="566"/>
      <c r="P102" s="566"/>
      <c r="Q102" s="566"/>
      <c r="R102" s="566"/>
      <c r="S102" s="566"/>
      <c r="T102" s="566"/>
      <c r="U102" s="566"/>
      <c r="V102" s="566"/>
      <c r="W102" s="566"/>
      <c r="X102" s="566"/>
      <c r="Y102" s="566"/>
      <c r="Z102" s="566"/>
      <c r="AA102" s="566"/>
      <c r="AB102" s="566"/>
      <c r="AC102" s="566"/>
      <c r="AD102" s="566"/>
      <c r="AE102" s="566"/>
      <c r="AF102" s="566"/>
      <c r="AG102" s="566"/>
      <c r="AH102" s="566"/>
    </row>
    <row r="103" spans="1:34" ht="15" hidden="1">
      <c r="A103" s="555"/>
      <c r="B103" s="550" t="s">
        <v>57</v>
      </c>
      <c r="C103" s="558" t="s">
        <v>52</v>
      </c>
      <c r="D103" s="582" t="s">
        <v>58</v>
      </c>
      <c r="E103" s="568"/>
      <c r="F103" s="586">
        <v>9</v>
      </c>
      <c r="G103" s="586"/>
      <c r="H103" s="587" t="s">
        <v>31</v>
      </c>
      <c r="I103" s="588" t="s">
        <v>52</v>
      </c>
      <c r="J103" s="589" t="s">
        <v>59</v>
      </c>
      <c r="K103" s="578" t="e">
        <f>#REF!</f>
        <v>#REF!</v>
      </c>
      <c r="L103" s="578"/>
      <c r="M103" s="578"/>
      <c r="N103" s="566">
        <f>N73</f>
        <v>121</v>
      </c>
      <c r="O103" s="566"/>
      <c r="P103" s="566">
        <f>P73</f>
        <v>4</v>
      </c>
      <c r="Q103" s="566">
        <f>Q73</f>
        <v>1275.6</v>
      </c>
      <c r="R103" s="566"/>
      <c r="S103" s="566"/>
      <c r="T103" s="566"/>
      <c r="U103" s="566">
        <f>U73</f>
        <v>0</v>
      </c>
      <c r="V103" s="566">
        <f>V73</f>
        <v>1218.9</v>
      </c>
      <c r="W103" s="566"/>
      <c r="X103" s="566" t="str">
        <f>X73</f>
        <v>Ц</v>
      </c>
      <c r="Y103" s="566" t="str">
        <f>Y73</f>
        <v>ГВС</v>
      </c>
      <c r="Z103" s="566" t="str">
        <f>Z73</f>
        <v>+</v>
      </c>
      <c r="AA103" s="566" t="str">
        <f>AA73</f>
        <v>+</v>
      </c>
      <c r="AB103" s="566" t="str">
        <f>AB73</f>
        <v>+</v>
      </c>
      <c r="AC103" s="566"/>
      <c r="AD103" s="566" t="str">
        <f>AD73</f>
        <v>ПР</v>
      </c>
      <c r="AE103" s="566" t="str">
        <f>AE73</f>
        <v>Г/ПЛ</v>
      </c>
      <c r="AF103" s="566" t="str">
        <f>AF73</f>
        <v>СКР</v>
      </c>
      <c r="AG103" s="566">
        <f>AG73</f>
        <v>1902</v>
      </c>
      <c r="AH103" s="566">
        <f>AH73</f>
        <v>704</v>
      </c>
    </row>
    <row r="104" spans="1:34" ht="15" hidden="1">
      <c r="A104" s="590"/>
      <c r="B104" s="556" t="s">
        <v>62</v>
      </c>
      <c r="C104" s="558" t="s">
        <v>52</v>
      </c>
      <c r="D104" s="557" t="s">
        <v>63</v>
      </c>
      <c r="E104" s="591"/>
      <c r="F104" s="591"/>
      <c r="G104" s="591"/>
      <c r="H104" s="570" t="s">
        <v>57</v>
      </c>
      <c r="I104" s="560" t="s">
        <v>52</v>
      </c>
      <c r="J104" s="585" t="s">
        <v>64</v>
      </c>
      <c r="K104" s="592"/>
      <c r="L104" s="592"/>
      <c r="M104" s="592"/>
      <c r="N104" s="593"/>
      <c r="O104" s="593"/>
      <c r="P104" s="593"/>
      <c r="Q104" s="593"/>
      <c r="R104" s="593"/>
      <c r="S104" s="593"/>
      <c r="T104" s="593"/>
      <c r="U104" s="593"/>
      <c r="V104" s="593"/>
      <c r="W104" s="593"/>
      <c r="X104" s="593"/>
      <c r="Y104" s="593"/>
      <c r="Z104" s="593"/>
      <c r="AA104" s="593"/>
      <c r="AB104" s="593"/>
      <c r="AC104" s="593"/>
      <c r="AD104" s="594"/>
      <c r="AE104" s="595"/>
      <c r="AF104" s="596"/>
      <c r="AG104" s="565"/>
      <c r="AH104" s="565"/>
    </row>
    <row r="105" spans="1:34" ht="15" hidden="1">
      <c r="A105" s="501"/>
      <c r="B105" s="550" t="s">
        <v>65</v>
      </c>
      <c r="C105" s="558" t="s">
        <v>52</v>
      </c>
      <c r="D105" s="582" t="s">
        <v>66</v>
      </c>
      <c r="E105" s="558"/>
      <c r="F105" s="558" t="s">
        <v>82</v>
      </c>
      <c r="G105" s="558"/>
      <c r="H105" s="559"/>
      <c r="I105" s="560"/>
      <c r="J105" s="561"/>
      <c r="K105" s="597" t="e">
        <f>SUM(K95:K104)</f>
        <v>#REF!</v>
      </c>
      <c r="L105" s="597"/>
      <c r="M105" s="597"/>
      <c r="N105" s="598">
        <f>SUM(N95:N104)</f>
        <v>3213</v>
      </c>
      <c r="O105" s="598"/>
      <c r="P105" s="598">
        <f>SUM(P95:P104)</f>
        <v>235</v>
      </c>
      <c r="Q105" s="598">
        <f>SUM(Q95:Q104)</f>
        <v>15443.600000000002</v>
      </c>
      <c r="R105" s="598"/>
      <c r="S105" s="598"/>
      <c r="T105" s="598"/>
      <c r="U105" s="598">
        <f>SUM(U95:U104)</f>
        <v>8910</v>
      </c>
      <c r="V105" s="598">
        <f>SUM(V95:V104)</f>
        <v>29723.979999999996</v>
      </c>
      <c r="W105" s="598"/>
      <c r="X105" s="598" t="e">
        <f>SUM(X95:X104)</f>
        <v>#VALUE!</v>
      </c>
      <c r="Y105" s="598" t="e">
        <f>SUM(Y95:Y104)</f>
        <v>#VALUE!</v>
      </c>
      <c r="Z105" s="598" t="e">
        <f>SUM(Z95:Z104)</f>
        <v>#VALUE!</v>
      </c>
      <c r="AA105" s="598" t="e">
        <f>SUM(AA95:AA104)</f>
        <v>#VALUE!</v>
      </c>
      <c r="AB105" s="598" t="e">
        <f>SUM(AB95:AB104)</f>
        <v>#VALUE!</v>
      </c>
      <c r="AC105" s="598"/>
      <c r="AD105" s="598" t="e">
        <f>SUM(AD95:AD104)</f>
        <v>#VALUE!</v>
      </c>
      <c r="AE105" s="598" t="e">
        <f>SUM(AE95:AE104)</f>
        <v>#VALUE!</v>
      </c>
      <c r="AF105" s="598" t="e">
        <f>SUM(AF95:AF104)</f>
        <v>#VALUE!</v>
      </c>
      <c r="AG105" s="598">
        <f>SUM(AG95:AG104)</f>
        <v>39830</v>
      </c>
      <c r="AH105" s="598">
        <f>SUM(AH95:AH104)</f>
        <v>29460</v>
      </c>
    </row>
    <row r="106" spans="1:34" ht="15" hidden="1">
      <c r="A106" s="501"/>
      <c r="B106" s="550"/>
      <c r="C106" s="558"/>
      <c r="D106" s="582"/>
      <c r="E106" s="558"/>
      <c r="F106" s="558"/>
      <c r="G106" s="558"/>
      <c r="H106" s="559"/>
      <c r="I106" s="560"/>
      <c r="J106" s="561"/>
      <c r="K106" s="599"/>
      <c r="L106" s="599"/>
      <c r="M106" s="599"/>
      <c r="N106" s="600"/>
      <c r="O106" s="600"/>
      <c r="P106" s="600"/>
      <c r="Q106" s="600"/>
      <c r="R106" s="600"/>
      <c r="S106" s="600"/>
      <c r="T106" s="600"/>
      <c r="U106" s="600"/>
      <c r="V106" s="600"/>
      <c r="W106" s="600"/>
      <c r="X106" s="600"/>
      <c r="Y106" s="600"/>
      <c r="Z106" s="600"/>
      <c r="AA106" s="600"/>
      <c r="AB106" s="600"/>
      <c r="AC106" s="600"/>
      <c r="AD106" s="600"/>
      <c r="AE106" s="600"/>
      <c r="AF106" s="600"/>
      <c r="AG106" s="600"/>
      <c r="AH106" s="600"/>
    </row>
    <row r="107" spans="1:34" ht="15" hidden="1">
      <c r="A107" s="501"/>
      <c r="B107" s="550"/>
      <c r="C107" s="558"/>
      <c r="D107" s="582"/>
      <c r="E107" s="558"/>
      <c r="F107" s="558"/>
      <c r="G107" s="558"/>
      <c r="H107" s="559"/>
      <c r="I107" s="560"/>
      <c r="J107" s="561"/>
      <c r="K107" s="599" t="s">
        <v>81</v>
      </c>
      <c r="L107" s="599"/>
      <c r="M107" s="599"/>
      <c r="N107" s="600"/>
      <c r="O107" s="600"/>
      <c r="P107" s="600"/>
      <c r="Q107" s="600"/>
      <c r="R107" s="600"/>
      <c r="S107" s="600"/>
      <c r="T107" s="600"/>
      <c r="U107" s="600"/>
      <c r="V107" s="600"/>
      <c r="W107" s="600"/>
      <c r="X107" s="600"/>
      <c r="Y107" s="600"/>
      <c r="Z107" s="600"/>
      <c r="AA107" s="600"/>
      <c r="AB107" s="600"/>
      <c r="AC107" s="600"/>
      <c r="AD107" s="600"/>
      <c r="AE107" s="600"/>
      <c r="AF107" s="600"/>
      <c r="AG107" s="600"/>
      <c r="AH107" s="600"/>
    </row>
    <row r="108" spans="1:34" ht="15" hidden="1">
      <c r="A108" s="501"/>
      <c r="B108" s="550"/>
      <c r="C108" s="558"/>
      <c r="D108" s="582"/>
      <c r="E108" s="558"/>
      <c r="F108" s="558">
        <v>2</v>
      </c>
      <c r="G108" s="558"/>
      <c r="H108" s="559"/>
      <c r="I108" s="560"/>
      <c r="J108" s="561"/>
      <c r="K108" s="599" t="e">
        <f>#REF!</f>
        <v>#REF!</v>
      </c>
      <c r="L108" s="599"/>
      <c r="M108" s="599"/>
      <c r="N108" s="600">
        <f>N76</f>
        <v>32</v>
      </c>
      <c r="O108" s="600"/>
      <c r="P108" s="600">
        <f>P76</f>
        <v>2</v>
      </c>
      <c r="Q108" s="600">
        <f>Q76</f>
        <v>221.6</v>
      </c>
      <c r="R108" s="600"/>
      <c r="S108" s="600"/>
      <c r="T108" s="600"/>
      <c r="U108" s="600">
        <f>U76</f>
        <v>0</v>
      </c>
      <c r="V108" s="600">
        <f>V76</f>
        <v>530.447</v>
      </c>
      <c r="W108" s="600"/>
      <c r="X108" s="600" t="str">
        <f>X76</f>
        <v>Ц</v>
      </c>
      <c r="Y108" s="600" t="str">
        <f>Y76</f>
        <v>ГВС</v>
      </c>
      <c r="Z108" s="600" t="str">
        <f>Z76</f>
        <v>+</v>
      </c>
      <c r="AA108" s="600" t="str">
        <f>AA76</f>
        <v>+</v>
      </c>
      <c r="AB108" s="600" t="str">
        <f>AB76</f>
        <v>+</v>
      </c>
      <c r="AC108" s="600"/>
      <c r="AD108" s="600" t="str">
        <f>AD76</f>
        <v>-</v>
      </c>
      <c r="AE108" s="600" t="str">
        <f>AE76</f>
        <v>Г/Б</v>
      </c>
      <c r="AF108" s="600" t="str">
        <f>AF76</f>
        <v>СКР</v>
      </c>
      <c r="AG108" s="600">
        <f>AG76</f>
        <v>300</v>
      </c>
      <c r="AH108" s="600">
        <f>AH76</f>
        <v>0</v>
      </c>
    </row>
    <row r="109" spans="1:34" ht="15" hidden="1">
      <c r="A109" s="501"/>
      <c r="B109" s="550"/>
      <c r="C109" s="558"/>
      <c r="D109" s="582"/>
      <c r="E109" s="558"/>
      <c r="F109" s="558">
        <v>3</v>
      </c>
      <c r="G109" s="558"/>
      <c r="H109" s="559"/>
      <c r="I109" s="560"/>
      <c r="J109" s="561"/>
      <c r="K109" s="599"/>
      <c r="L109" s="599"/>
      <c r="M109" s="599"/>
      <c r="N109" s="600"/>
      <c r="O109" s="600"/>
      <c r="P109" s="600"/>
      <c r="Q109" s="600"/>
      <c r="R109" s="600"/>
      <c r="S109" s="600"/>
      <c r="T109" s="600"/>
      <c r="U109" s="600"/>
      <c r="V109" s="600"/>
      <c r="W109" s="600"/>
      <c r="X109" s="600"/>
      <c r="Y109" s="600"/>
      <c r="Z109" s="600"/>
      <c r="AA109" s="600"/>
      <c r="AB109" s="600"/>
      <c r="AC109" s="600"/>
      <c r="AD109" s="600"/>
      <c r="AE109" s="600"/>
      <c r="AF109" s="600"/>
      <c r="AG109" s="600"/>
      <c r="AH109" s="600"/>
    </row>
    <row r="110" spans="1:34" ht="15" hidden="1">
      <c r="A110" s="501"/>
      <c r="B110" s="550"/>
      <c r="C110" s="558"/>
      <c r="D110" s="582"/>
      <c r="E110" s="558"/>
      <c r="F110" s="558">
        <v>4</v>
      </c>
      <c r="G110" s="558"/>
      <c r="H110" s="559"/>
      <c r="I110" s="560"/>
      <c r="J110" s="561"/>
      <c r="K110" s="599"/>
      <c r="L110" s="599"/>
      <c r="M110" s="599"/>
      <c r="N110" s="600"/>
      <c r="O110" s="600"/>
      <c r="P110" s="600"/>
      <c r="Q110" s="600"/>
      <c r="R110" s="600"/>
      <c r="S110" s="600"/>
      <c r="T110" s="600"/>
      <c r="U110" s="600"/>
      <c r="V110" s="600"/>
      <c r="W110" s="600"/>
      <c r="X110" s="600"/>
      <c r="Y110" s="600"/>
      <c r="Z110" s="600"/>
      <c r="AA110" s="600"/>
      <c r="AB110" s="600"/>
      <c r="AC110" s="600"/>
      <c r="AD110" s="600"/>
      <c r="AE110" s="600"/>
      <c r="AF110" s="600"/>
      <c r="AG110" s="600"/>
      <c r="AH110" s="600"/>
    </row>
    <row r="111" spans="1:34" ht="15" hidden="1">
      <c r="A111" s="501"/>
      <c r="B111" s="550"/>
      <c r="C111" s="558"/>
      <c r="D111" s="582"/>
      <c r="E111" s="558"/>
      <c r="F111" s="558">
        <v>5</v>
      </c>
      <c r="G111" s="558"/>
      <c r="H111" s="559"/>
      <c r="I111" s="560"/>
      <c r="J111" s="561"/>
      <c r="K111" s="599" t="e">
        <f>#REF!</f>
        <v>#REF!</v>
      </c>
      <c r="L111" s="599"/>
      <c r="M111" s="599"/>
      <c r="N111" s="600">
        <f>N25</f>
        <v>84</v>
      </c>
      <c r="O111" s="600"/>
      <c r="P111" s="600">
        <f>P25</f>
        <v>1</v>
      </c>
      <c r="Q111" s="600">
        <f>Q25</f>
        <v>878.2</v>
      </c>
      <c r="R111" s="600"/>
      <c r="S111" s="600"/>
      <c r="T111" s="600"/>
      <c r="U111" s="600">
        <f>U25</f>
        <v>0</v>
      </c>
      <c r="V111" s="600">
        <f>V25</f>
        <v>507.4</v>
      </c>
      <c r="W111" s="600"/>
      <c r="X111" s="600" t="str">
        <f>X25</f>
        <v>Ц</v>
      </c>
      <c r="Y111" s="600" t="str">
        <f>Y25</f>
        <v>ГВС</v>
      </c>
      <c r="Z111" s="600" t="str">
        <f>Z25</f>
        <v>+</v>
      </c>
      <c r="AA111" s="600" t="str">
        <f>AA25</f>
        <v>+</v>
      </c>
      <c r="AB111" s="600" t="str">
        <f>AB25</f>
        <v>+</v>
      </c>
      <c r="AC111" s="600"/>
      <c r="AD111" s="600" t="str">
        <f>AD25</f>
        <v>ПР</v>
      </c>
      <c r="AE111" s="600" t="str">
        <f>AE25</f>
        <v>Г/ПЛ</v>
      </c>
      <c r="AF111" s="600" t="str">
        <f>AF25</f>
        <v>СКР</v>
      </c>
      <c r="AG111" s="600">
        <f>AG25</f>
        <v>513</v>
      </c>
      <c r="AH111" s="600">
        <f>AH25</f>
        <v>1052</v>
      </c>
    </row>
    <row r="112" spans="1:34" ht="15" hidden="1">
      <c r="A112" s="501"/>
      <c r="B112" s="550"/>
      <c r="C112" s="558"/>
      <c r="D112" s="582"/>
      <c r="E112" s="558"/>
      <c r="F112" s="558"/>
      <c r="G112" s="558"/>
      <c r="H112" s="559"/>
      <c r="I112" s="560"/>
      <c r="J112" s="561"/>
      <c r="K112" s="599"/>
      <c r="L112" s="599"/>
      <c r="M112" s="599"/>
      <c r="N112" s="600"/>
      <c r="O112" s="600"/>
      <c r="P112" s="600"/>
      <c r="Q112" s="600"/>
      <c r="R112" s="600"/>
      <c r="S112" s="600"/>
      <c r="T112" s="600"/>
      <c r="U112" s="600"/>
      <c r="V112" s="600"/>
      <c r="W112" s="600"/>
      <c r="X112" s="600"/>
      <c r="Y112" s="600"/>
      <c r="Z112" s="600"/>
      <c r="AA112" s="600"/>
      <c r="AB112" s="600"/>
      <c r="AC112" s="600"/>
      <c r="AD112" s="600"/>
      <c r="AE112" s="600"/>
      <c r="AF112" s="600"/>
      <c r="AG112" s="600"/>
      <c r="AH112" s="600"/>
    </row>
    <row r="113" spans="1:34" ht="15" hidden="1">
      <c r="A113" s="501"/>
      <c r="B113" s="501"/>
      <c r="C113" s="501"/>
      <c r="D113" s="558"/>
      <c r="E113" s="558"/>
      <c r="F113" s="558" t="s">
        <v>82</v>
      </c>
      <c r="G113" s="558"/>
      <c r="H113" s="559"/>
      <c r="I113" s="560"/>
      <c r="J113" s="561"/>
      <c r="K113" s="559" t="e">
        <f>SUM(K108:K111)</f>
        <v>#REF!</v>
      </c>
      <c r="L113" s="559"/>
      <c r="M113" s="559"/>
      <c r="N113" s="561">
        <f>SUM(N108:N111)</f>
        <v>116</v>
      </c>
      <c r="O113" s="561"/>
      <c r="P113" s="561">
        <f>SUM(P108:P111)</f>
        <v>3</v>
      </c>
      <c r="Q113" s="561">
        <f>SUM(Q108:Q111)</f>
        <v>1099.8</v>
      </c>
      <c r="R113" s="561"/>
      <c r="S113" s="561"/>
      <c r="T113" s="561"/>
      <c r="U113" s="561">
        <f>SUM(U108:U111)</f>
        <v>0</v>
      </c>
      <c r="V113" s="561">
        <f>SUM(V108:V111)</f>
        <v>1037.847</v>
      </c>
      <c r="W113" s="561"/>
      <c r="X113" s="561">
        <f>SUM(X108:X111)</f>
        <v>0</v>
      </c>
      <c r="Y113" s="561">
        <f>SUM(Y108:Y111)</f>
        <v>0</v>
      </c>
      <c r="Z113" s="561">
        <f>SUM(Z108:Z111)</f>
        <v>0</v>
      </c>
      <c r="AA113" s="561">
        <f>SUM(AA108:AA111)</f>
        <v>0</v>
      </c>
      <c r="AB113" s="561">
        <f>SUM(AB108:AB111)</f>
        <v>0</v>
      </c>
      <c r="AC113" s="561"/>
      <c r="AD113" s="561">
        <f>SUM(AD108:AD111)</f>
        <v>0</v>
      </c>
      <c r="AE113" s="561">
        <f>SUM(AE108:AE111)</f>
        <v>0</v>
      </c>
      <c r="AF113" s="561">
        <f>SUM(AF108:AF111)</f>
        <v>0</v>
      </c>
      <c r="AG113" s="561">
        <f>SUM(AG108:AG111)</f>
        <v>813</v>
      </c>
      <c r="AH113" s="561">
        <f>SUM(AH108:AH111)</f>
        <v>1052</v>
      </c>
    </row>
    <row r="114" spans="1:32" ht="15" hidden="1">
      <c r="A114" s="501"/>
      <c r="B114" s="501"/>
      <c r="C114" s="501"/>
      <c r="D114" s="558"/>
      <c r="E114" s="558"/>
      <c r="F114" s="558"/>
      <c r="G114" s="558"/>
      <c r="H114" s="559"/>
      <c r="I114" s="560"/>
      <c r="J114" s="561"/>
      <c r="K114" s="559"/>
      <c r="L114" s="559"/>
      <c r="M114" s="559"/>
      <c r="N114" s="601"/>
      <c r="O114" s="602"/>
      <c r="P114" s="558"/>
      <c r="Q114" s="558"/>
      <c r="R114" s="558"/>
      <c r="S114" s="558"/>
      <c r="T114" s="558"/>
      <c r="U114" s="558"/>
      <c r="V114" s="558"/>
      <c r="W114" s="558"/>
      <c r="X114" s="558"/>
      <c r="Y114" s="558"/>
      <c r="Z114" s="558"/>
      <c r="AA114" s="558"/>
      <c r="AB114" s="558"/>
      <c r="AC114" s="558"/>
      <c r="AD114" s="501"/>
      <c r="AE114" s="557"/>
      <c r="AF114" s="575"/>
    </row>
    <row r="115" spans="1:32" ht="15" hidden="1">
      <c r="A115" s="501"/>
      <c r="B115" s="549"/>
      <c r="C115" s="501"/>
      <c r="D115" s="558"/>
      <c r="E115" s="558"/>
      <c r="F115" s="558"/>
      <c r="G115" s="558"/>
      <c r="H115" s="559"/>
      <c r="I115" s="560"/>
      <c r="J115" s="561"/>
      <c r="K115" s="559" t="e">
        <f>K113+K105</f>
        <v>#REF!</v>
      </c>
      <c r="L115" s="559"/>
      <c r="M115" s="559"/>
      <c r="N115" s="601"/>
      <c r="O115" s="602"/>
      <c r="P115" s="558"/>
      <c r="Q115" s="558"/>
      <c r="R115" s="558"/>
      <c r="S115" s="558"/>
      <c r="T115" s="558"/>
      <c r="U115" s="558"/>
      <c r="V115" s="558"/>
      <c r="W115" s="558"/>
      <c r="X115" s="558"/>
      <c r="Y115" s="558"/>
      <c r="Z115" s="558"/>
      <c r="AA115" s="558"/>
      <c r="AB115" s="558"/>
      <c r="AC115" s="558"/>
      <c r="AD115" s="501"/>
      <c r="AE115" s="557"/>
      <c r="AF115" s="575"/>
    </row>
    <row r="116" spans="1:32" ht="15" hidden="1">
      <c r="A116" s="603"/>
      <c r="B116" s="603"/>
      <c r="C116" s="603"/>
      <c r="D116" s="574"/>
      <c r="E116" s="604" t="s">
        <v>12</v>
      </c>
      <c r="F116" s="574"/>
      <c r="G116" s="574"/>
      <c r="H116" s="605"/>
      <c r="I116" s="606"/>
      <c r="J116" s="607"/>
      <c r="K116" s="605"/>
      <c r="L116" s="605"/>
      <c r="M116" s="605"/>
      <c r="N116" s="590"/>
      <c r="O116" s="604"/>
      <c r="P116" s="608"/>
      <c r="Q116" s="574"/>
      <c r="R116" s="574"/>
      <c r="S116" s="574"/>
      <c r="T116" s="574"/>
      <c r="U116" s="574"/>
      <c r="V116" s="574"/>
      <c r="W116" s="574"/>
      <c r="X116" s="574"/>
      <c r="Y116" s="574"/>
      <c r="Z116" s="574"/>
      <c r="AA116" s="574"/>
      <c r="AB116" s="574"/>
      <c r="AC116" s="574"/>
      <c r="AD116" s="603"/>
      <c r="AE116" s="590"/>
      <c r="AF116" s="609"/>
    </row>
    <row r="117" spans="1:32" ht="15">
      <c r="A117" s="603"/>
      <c r="B117" s="603"/>
      <c r="C117" s="603"/>
      <c r="D117" s="574"/>
      <c r="E117" s="604"/>
      <c r="F117" s="574"/>
      <c r="G117" s="574"/>
      <c r="H117" s="605"/>
      <c r="I117" s="606"/>
      <c r="J117" s="607"/>
      <c r="K117" s="605">
        <f>K14+K15+K18+K24+K28+K29+SUM(K37:K43)+SUM(K45:K49)+K53+K54+K57+K59+K60+K61+K63+K64+K65+K70+K72+K72+K76+K77</f>
        <v>55292.03</v>
      </c>
      <c r="L117" s="605"/>
      <c r="M117" s="605"/>
      <c r="N117" s="590"/>
      <c r="O117" s="604"/>
      <c r="P117" s="608"/>
      <c r="Q117" s="574"/>
      <c r="R117" s="574"/>
      <c r="S117" s="574"/>
      <c r="T117" s="574"/>
      <c r="U117" s="574"/>
      <c r="V117" s="574"/>
      <c r="W117" s="574"/>
      <c r="X117" s="574"/>
      <c r="Y117" s="574"/>
      <c r="Z117" s="574"/>
      <c r="AA117" s="574"/>
      <c r="AB117" s="574"/>
      <c r="AC117" s="574"/>
      <c r="AD117" s="603"/>
      <c r="AE117" s="590"/>
      <c r="AF117" s="609"/>
    </row>
    <row r="118" spans="1:31" ht="15">
      <c r="A118" s="549"/>
      <c r="B118" s="567"/>
      <c r="C118" s="567"/>
      <c r="D118" s="567"/>
      <c r="E118" s="568"/>
      <c r="F118" s="569"/>
      <c r="G118" s="569"/>
      <c r="H118" s="570"/>
      <c r="I118" s="571"/>
      <c r="J118" s="572" t="s">
        <v>49</v>
      </c>
      <c r="K118" s="570"/>
      <c r="L118" s="570"/>
      <c r="M118" s="570"/>
      <c r="N118" s="610"/>
      <c r="O118" s="610"/>
      <c r="P118" s="569"/>
      <c r="Q118" s="569"/>
      <c r="R118" s="569"/>
      <c r="S118" s="569"/>
      <c r="T118" s="569"/>
      <c r="U118" s="569"/>
      <c r="V118" s="569"/>
      <c r="W118" s="569"/>
      <c r="X118" s="569"/>
      <c r="Y118" s="611"/>
      <c r="Z118" s="569"/>
      <c r="AA118" s="569"/>
      <c r="AB118" s="569"/>
      <c r="AC118" s="567"/>
      <c r="AD118" s="568"/>
      <c r="AE118" s="568"/>
    </row>
    <row r="119" spans="1:32" ht="15">
      <c r="A119" s="557"/>
      <c r="B119" s="501"/>
      <c r="C119" s="574" t="s">
        <v>50</v>
      </c>
      <c r="D119" s="558"/>
      <c r="E119" s="575"/>
      <c r="F119" s="575"/>
      <c r="G119" s="575"/>
      <c r="H119" s="576"/>
      <c r="I119" s="577" t="s">
        <v>51</v>
      </c>
      <c r="J119" s="561"/>
      <c r="K119" s="576"/>
      <c r="L119" s="576"/>
      <c r="M119" s="576"/>
      <c r="N119" s="613"/>
      <c r="O119" s="602"/>
      <c r="P119" s="613"/>
      <c r="Q119" s="614"/>
      <c r="U119" s="860" t="s">
        <v>11</v>
      </c>
      <c r="V119" s="860"/>
      <c r="W119" s="615"/>
      <c r="X119" s="575"/>
      <c r="Y119" s="558"/>
      <c r="Z119" s="558"/>
      <c r="AB119" s="574"/>
      <c r="AC119" s="861" t="s">
        <v>12</v>
      </c>
      <c r="AD119" s="861"/>
      <c r="AE119" s="861"/>
      <c r="AF119" s="861"/>
    </row>
    <row r="120" spans="1:31" ht="15">
      <c r="A120" s="557"/>
      <c r="B120" s="501"/>
      <c r="C120" s="579"/>
      <c r="D120" s="558"/>
      <c r="E120" s="575"/>
      <c r="F120" s="575"/>
      <c r="G120" s="575"/>
      <c r="H120" s="580"/>
      <c r="I120" s="581"/>
      <c r="J120" s="561"/>
      <c r="K120" s="576"/>
      <c r="L120" s="576"/>
      <c r="M120" s="576"/>
      <c r="N120" s="613"/>
      <c r="O120" s="602"/>
      <c r="P120" s="613"/>
      <c r="Q120" s="601"/>
      <c r="R120" s="601"/>
      <c r="S120" s="601"/>
      <c r="T120" s="601"/>
      <c r="U120" s="601"/>
      <c r="V120" s="601"/>
      <c r="W120" s="601"/>
      <c r="X120" s="601"/>
      <c r="Y120" s="558"/>
      <c r="Z120" s="558"/>
      <c r="AA120" s="569"/>
      <c r="AB120" s="569"/>
      <c r="AC120" s="569"/>
      <c r="AD120" s="569"/>
      <c r="AE120" s="570"/>
    </row>
    <row r="121" spans="1:31" ht="15">
      <c r="A121" s="557"/>
      <c r="B121" s="550" t="s">
        <v>30</v>
      </c>
      <c r="C121" s="558" t="s">
        <v>52</v>
      </c>
      <c r="D121" s="582" t="s">
        <v>53</v>
      </c>
      <c r="E121" s="575"/>
      <c r="F121" s="575"/>
      <c r="G121" s="575"/>
      <c r="H121" s="583" t="s">
        <v>37</v>
      </c>
      <c r="I121" s="584" t="s">
        <v>52</v>
      </c>
      <c r="J121" s="585" t="s">
        <v>54</v>
      </c>
      <c r="K121" s="576"/>
      <c r="L121" s="576"/>
      <c r="M121" s="576"/>
      <c r="N121" s="613"/>
      <c r="O121" s="602"/>
      <c r="U121" s="616" t="s">
        <v>55</v>
      </c>
      <c r="V121" s="601" t="s">
        <v>52</v>
      </c>
      <c r="W121" s="617" t="s">
        <v>56</v>
      </c>
      <c r="Y121" s="558"/>
      <c r="Z121" s="558"/>
      <c r="AB121" s="859" t="s">
        <v>34</v>
      </c>
      <c r="AC121" s="859"/>
      <c r="AD121" s="558" t="s">
        <v>52</v>
      </c>
      <c r="AE121" s="582" t="s">
        <v>89</v>
      </c>
    </row>
    <row r="122" spans="1:31" ht="15">
      <c r="A122" s="555"/>
      <c r="B122" s="550" t="s">
        <v>85</v>
      </c>
      <c r="C122" s="558" t="s">
        <v>52</v>
      </c>
      <c r="D122" s="582" t="s">
        <v>86</v>
      </c>
      <c r="E122" s="568"/>
      <c r="F122" s="568"/>
      <c r="G122" s="568"/>
      <c r="H122" s="551" t="s">
        <v>31</v>
      </c>
      <c r="I122" s="560" t="s">
        <v>52</v>
      </c>
      <c r="J122" s="585" t="s">
        <v>59</v>
      </c>
      <c r="K122" s="618"/>
      <c r="L122" s="618"/>
      <c r="M122" s="618"/>
      <c r="N122" s="568"/>
      <c r="O122" s="619"/>
      <c r="U122" s="556" t="s">
        <v>60</v>
      </c>
      <c r="V122" s="558" t="s">
        <v>52</v>
      </c>
      <c r="W122" s="582" t="s">
        <v>61</v>
      </c>
      <c r="Y122" s="569"/>
      <c r="Z122" s="569"/>
      <c r="AC122" s="620" t="s">
        <v>84</v>
      </c>
      <c r="AD122" s="558" t="s">
        <v>52</v>
      </c>
      <c r="AE122" s="582" t="s">
        <v>90</v>
      </c>
    </row>
    <row r="123" spans="1:31" ht="15">
      <c r="A123" s="590"/>
      <c r="B123" s="556"/>
      <c r="C123" s="558"/>
      <c r="D123" s="557"/>
      <c r="E123" s="591"/>
      <c r="F123" s="591"/>
      <c r="G123" s="591"/>
      <c r="H123" s="551" t="s">
        <v>107</v>
      </c>
      <c r="I123" s="560" t="s">
        <v>52</v>
      </c>
      <c r="J123" s="585" t="s">
        <v>108</v>
      </c>
      <c r="K123" s="621"/>
      <c r="L123" s="621"/>
      <c r="M123" s="621"/>
      <c r="N123" s="622"/>
      <c r="O123" s="623"/>
      <c r="P123" s="624"/>
      <c r="Q123" s="624"/>
      <c r="R123" s="624"/>
      <c r="S123" s="624"/>
      <c r="T123" s="624"/>
      <c r="U123" s="624"/>
      <c r="V123" s="624"/>
      <c r="W123" s="624"/>
      <c r="X123" s="624"/>
      <c r="Y123" s="624"/>
      <c r="Z123" s="624"/>
      <c r="AA123" s="620"/>
      <c r="AB123" s="558"/>
      <c r="AC123" s="582"/>
      <c r="AD123" s="558"/>
      <c r="AE123" s="559"/>
    </row>
    <row r="124" spans="1:31" ht="15">
      <c r="A124" s="501"/>
      <c r="B124" s="550"/>
      <c r="C124" s="558"/>
      <c r="D124" s="582"/>
      <c r="E124" s="558"/>
      <c r="F124" s="558"/>
      <c r="G124" s="558"/>
      <c r="H124" s="559"/>
      <c r="I124" s="560"/>
      <c r="J124" s="561"/>
      <c r="K124" s="559"/>
      <c r="L124" s="559"/>
      <c r="M124" s="559"/>
      <c r="N124" s="601"/>
      <c r="O124" s="602"/>
      <c r="P124" s="558"/>
      <c r="Q124" s="558"/>
      <c r="R124" s="558"/>
      <c r="S124" s="558"/>
      <c r="T124" s="558"/>
      <c r="U124" s="558"/>
      <c r="V124" s="558"/>
      <c r="W124" s="558"/>
      <c r="X124" s="558"/>
      <c r="Y124" s="558"/>
      <c r="Z124" s="558"/>
      <c r="AA124" s="558"/>
      <c r="AB124" s="558"/>
      <c r="AC124" s="501"/>
      <c r="AD124" s="557"/>
      <c r="AE124" s="557"/>
    </row>
    <row r="125" spans="1:31" ht="15">
      <c r="A125" s="501"/>
      <c r="B125" s="549"/>
      <c r="C125" s="501"/>
      <c r="D125" s="558"/>
      <c r="E125" s="558"/>
      <c r="F125" s="558"/>
      <c r="G125" s="558"/>
      <c r="H125" s="559"/>
      <c r="I125" s="560"/>
      <c r="J125" s="561"/>
      <c r="K125" s="559"/>
      <c r="L125" s="559"/>
      <c r="M125" s="559"/>
      <c r="N125" s="601"/>
      <c r="O125" s="602"/>
      <c r="P125" s="558"/>
      <c r="Q125" s="558"/>
      <c r="R125" s="558"/>
      <c r="S125" s="558"/>
      <c r="T125" s="558"/>
      <c r="U125" s="558"/>
      <c r="V125" s="558"/>
      <c r="W125" s="558"/>
      <c r="X125" s="558"/>
      <c r="Y125" s="558"/>
      <c r="Z125" s="558"/>
      <c r="AA125" s="558"/>
      <c r="AB125" s="558"/>
      <c r="AC125" s="501"/>
      <c r="AD125" s="557"/>
      <c r="AE125" s="557"/>
    </row>
    <row r="126" spans="1:31" ht="15">
      <c r="A126" s="558"/>
      <c r="B126" s="501"/>
      <c r="C126" s="501"/>
      <c r="D126" s="582" t="s">
        <v>75</v>
      </c>
      <c r="E126" s="558"/>
      <c r="F126" s="558"/>
      <c r="G126" s="558"/>
      <c r="H126" s="559"/>
      <c r="I126" s="561"/>
      <c r="K126" s="559"/>
      <c r="L126" s="559"/>
      <c r="M126" s="559"/>
      <c r="N126" s="601"/>
      <c r="O126" s="602"/>
      <c r="P126" s="558"/>
      <c r="Q126" s="558" t="s">
        <v>78</v>
      </c>
      <c r="R126" s="558"/>
      <c r="S126" s="558"/>
      <c r="T126" s="558"/>
      <c r="U126" s="558"/>
      <c r="V126" s="558"/>
      <c r="W126" s="558"/>
      <c r="AC126" s="501"/>
      <c r="AD126" s="557"/>
      <c r="AE126" s="557"/>
    </row>
    <row r="127" spans="1:31" ht="15">
      <c r="A127" s="549"/>
      <c r="B127" s="567"/>
      <c r="C127" s="567"/>
      <c r="D127" s="625"/>
      <c r="E127" s="569"/>
      <c r="F127" s="569"/>
      <c r="G127" s="569"/>
      <c r="H127" s="570"/>
      <c r="I127" s="626"/>
      <c r="K127" s="570"/>
      <c r="L127" s="570"/>
      <c r="M127" s="570"/>
      <c r="N127" s="619"/>
      <c r="O127" s="619"/>
      <c r="P127" s="569"/>
      <c r="Q127" s="569"/>
      <c r="R127" s="569"/>
      <c r="S127" s="569"/>
      <c r="T127" s="569"/>
      <c r="U127" s="569"/>
      <c r="V127" s="569"/>
      <c r="W127" s="569"/>
      <c r="X127" s="569"/>
      <c r="Y127" s="569"/>
      <c r="Z127" s="569"/>
      <c r="AA127" s="569"/>
      <c r="AB127" s="569"/>
      <c r="AC127" s="567"/>
      <c r="AD127" s="568"/>
      <c r="AE127" s="568"/>
    </row>
    <row r="128" spans="1:31" ht="15">
      <c r="A128" s="501"/>
      <c r="B128" s="501"/>
      <c r="C128" s="501"/>
      <c r="D128" s="582" t="s">
        <v>112</v>
      </c>
      <c r="E128" s="558"/>
      <c r="F128" s="558"/>
      <c r="G128" s="558"/>
      <c r="H128" s="559"/>
      <c r="K128" s="559"/>
      <c r="L128" s="559"/>
      <c r="M128" s="559"/>
      <c r="N128" s="558"/>
      <c r="O128" s="602"/>
      <c r="P128" s="558"/>
      <c r="Q128" s="465" t="s">
        <v>80</v>
      </c>
      <c r="U128" s="558"/>
      <c r="V128" s="558"/>
      <c r="W128" s="558"/>
      <c r="X128" s="558"/>
      <c r="Y128" s="558"/>
      <c r="Z128" s="558"/>
      <c r="AA128" s="558"/>
      <c r="AB128" s="558"/>
      <c r="AC128" s="501"/>
      <c r="AD128" s="557"/>
      <c r="AE128" s="557"/>
    </row>
    <row r="129" spans="1:31" ht="15">
      <c r="A129" s="501"/>
      <c r="B129" s="501"/>
      <c r="C129" s="501"/>
      <c r="D129" s="582"/>
      <c r="E129" s="558"/>
      <c r="F129" s="558"/>
      <c r="G129" s="558"/>
      <c r="H129" s="559"/>
      <c r="I129" s="561"/>
      <c r="K129" s="559"/>
      <c r="L129" s="559"/>
      <c r="M129" s="559"/>
      <c r="N129" s="558"/>
      <c r="O129" s="602"/>
      <c r="P129" s="558"/>
      <c r="Q129" s="558"/>
      <c r="R129" s="558"/>
      <c r="S129" s="558"/>
      <c r="T129" s="558"/>
      <c r="U129" s="558"/>
      <c r="V129" s="558"/>
      <c r="W129" s="558"/>
      <c r="X129" s="558"/>
      <c r="Y129" s="558"/>
      <c r="Z129" s="558"/>
      <c r="AA129" s="558"/>
      <c r="AB129" s="558"/>
      <c r="AC129" s="501"/>
      <c r="AD129" s="557"/>
      <c r="AE129" s="557"/>
    </row>
    <row r="130" spans="1:31" ht="15">
      <c r="A130" s="501"/>
      <c r="B130" s="501"/>
      <c r="C130" s="501"/>
      <c r="D130" s="582" t="s">
        <v>76</v>
      </c>
      <c r="E130" s="558"/>
      <c r="F130" s="558"/>
      <c r="G130" s="558"/>
      <c r="H130" s="559"/>
      <c r="I130" s="585"/>
      <c r="K130" s="559"/>
      <c r="L130" s="559"/>
      <c r="M130" s="559"/>
      <c r="N130" s="558"/>
      <c r="O130" s="558"/>
      <c r="P130" s="558"/>
      <c r="Q130" s="558" t="s">
        <v>79</v>
      </c>
      <c r="R130" s="558"/>
      <c r="S130" s="558"/>
      <c r="T130" s="558"/>
      <c r="U130" s="558"/>
      <c r="V130" s="558"/>
      <c r="W130" s="558"/>
      <c r="X130" s="558"/>
      <c r="Y130" s="558"/>
      <c r="Z130" s="558"/>
      <c r="AA130" s="558"/>
      <c r="AB130" s="558"/>
      <c r="AC130" s="501"/>
      <c r="AD130" s="557"/>
      <c r="AE130" s="557"/>
    </row>
  </sheetData>
  <sheetProtection/>
  <mergeCells count="123">
    <mergeCell ref="H77:H78"/>
    <mergeCell ref="G77:G78"/>
    <mergeCell ref="F77:F78"/>
    <mergeCell ref="E77:E78"/>
    <mergeCell ref="D77:D78"/>
    <mergeCell ref="C77:C78"/>
    <mergeCell ref="B77:B78"/>
    <mergeCell ref="A77:A78"/>
    <mergeCell ref="U77:U78"/>
    <mergeCell ref="T77:T78"/>
    <mergeCell ref="S77:S78"/>
    <mergeCell ref="R77:R78"/>
    <mergeCell ref="Q77:Q78"/>
    <mergeCell ref="P77:P78"/>
    <mergeCell ref="J77:J78"/>
    <mergeCell ref="I77:I78"/>
    <mergeCell ref="K77:K78"/>
    <mergeCell ref="M77:M78"/>
    <mergeCell ref="N77:N78"/>
    <mergeCell ref="O77:O78"/>
    <mergeCell ref="AD77:AD78"/>
    <mergeCell ref="AC77:AC78"/>
    <mergeCell ref="AB77:AB78"/>
    <mergeCell ref="AA77:AA78"/>
    <mergeCell ref="Z77:Z78"/>
    <mergeCell ref="X77:X78"/>
    <mergeCell ref="W77:W78"/>
    <mergeCell ref="V77:V78"/>
    <mergeCell ref="AL77:AL78"/>
    <mergeCell ref="AK77:AK78"/>
    <mergeCell ref="AJ77:AJ78"/>
    <mergeCell ref="AI77:AI78"/>
    <mergeCell ref="AH77:AH78"/>
    <mergeCell ref="AG77:AG78"/>
    <mergeCell ref="AF77:AF78"/>
    <mergeCell ref="AE77:AE78"/>
    <mergeCell ref="Z26:Z27"/>
    <mergeCell ref="AL26:AL27"/>
    <mergeCell ref="AJ26:AJ27"/>
    <mergeCell ref="AI26:AI27"/>
    <mergeCell ref="AK26:AK27"/>
    <mergeCell ref="AD26:AD27"/>
    <mergeCell ref="AC26:AC27"/>
    <mergeCell ref="AB26:AB27"/>
    <mergeCell ref="AA26:AA27"/>
    <mergeCell ref="AH26:AH27"/>
    <mergeCell ref="AG26:AG27"/>
    <mergeCell ref="AF26:AF27"/>
    <mergeCell ref="AE26:AE27"/>
    <mergeCell ref="B26:B27"/>
    <mergeCell ref="S26:S27"/>
    <mergeCell ref="R26:R27"/>
    <mergeCell ref="G26:G27"/>
    <mergeCell ref="J26:J27"/>
    <mergeCell ref="I26:I27"/>
    <mergeCell ref="H26:H27"/>
    <mergeCell ref="A26:A27"/>
    <mergeCell ref="F26:F27"/>
    <mergeCell ref="E26:E27"/>
    <mergeCell ref="D26:D27"/>
    <mergeCell ref="C26:C27"/>
    <mergeCell ref="P26:P27"/>
    <mergeCell ref="Q26:Q27"/>
    <mergeCell ref="W26:W27"/>
    <mergeCell ref="V26:V27"/>
    <mergeCell ref="U26:U27"/>
    <mergeCell ref="T26:T27"/>
    <mergeCell ref="G3:G5"/>
    <mergeCell ref="H3:H5"/>
    <mergeCell ref="I3:I5"/>
    <mergeCell ref="J3:J5"/>
    <mergeCell ref="V4:V5"/>
    <mergeCell ref="A2:A5"/>
    <mergeCell ref="B2:B5"/>
    <mergeCell ref="C2:C5"/>
    <mergeCell ref="D2:D5"/>
    <mergeCell ref="P3:P5"/>
    <mergeCell ref="E2:E5"/>
    <mergeCell ref="F2:F5"/>
    <mergeCell ref="G2:H2"/>
    <mergeCell ref="I2:J2"/>
    <mergeCell ref="X2:Y2"/>
    <mergeCell ref="AD2:AD5"/>
    <mergeCell ref="AA3:AA5"/>
    <mergeCell ref="AB3:AB5"/>
    <mergeCell ref="AI2:AL3"/>
    <mergeCell ref="AG2:AH3"/>
    <mergeCell ref="R2:T2"/>
    <mergeCell ref="R3:T3"/>
    <mergeCell ref="Z3:Z5"/>
    <mergeCell ref="Y3:Y5"/>
    <mergeCell ref="X3:X5"/>
    <mergeCell ref="AH4:AH5"/>
    <mergeCell ref="AG4:AG5"/>
    <mergeCell ref="AL4:AL5"/>
    <mergeCell ref="AB121:AC121"/>
    <mergeCell ref="U119:V119"/>
    <mergeCell ref="AC119:AF119"/>
    <mergeCell ref="AE2:AE5"/>
    <mergeCell ref="AF2:AF5"/>
    <mergeCell ref="Z2:AC2"/>
    <mergeCell ref="AC3:AC5"/>
    <mergeCell ref="U2:W2"/>
    <mergeCell ref="V3:W3"/>
    <mergeCell ref="X26:X27"/>
    <mergeCell ref="P2:Q2"/>
    <mergeCell ref="K4:K5"/>
    <mergeCell ref="N3:O3"/>
    <mergeCell ref="N4:N5"/>
    <mergeCell ref="K2:N2"/>
    <mergeCell ref="Q3:Q5"/>
    <mergeCell ref="K3:M3"/>
    <mergeCell ref="L4:L5"/>
    <mergeCell ref="AK4:AK5"/>
    <mergeCell ref="AJ4:AJ5"/>
    <mergeCell ref="AI4:AI5"/>
    <mergeCell ref="K26:K27"/>
    <mergeCell ref="O26:O27"/>
    <mergeCell ref="N26:N27"/>
    <mergeCell ref="M26:M27"/>
    <mergeCell ref="R4:R5"/>
    <mergeCell ref="S4:T4"/>
    <mergeCell ref="U3:U5"/>
  </mergeCells>
  <printOptions horizontalCentered="1"/>
  <pageMargins left="0" right="0" top="0" bottom="0" header="0" footer="0"/>
  <pageSetup horizontalDpi="600" verticalDpi="600" orientation="landscape" paperSize="9" scale="79" r:id="rId1"/>
  <rowBreaks count="2" manualBreakCount="2">
    <brk id="35" min="2" max="37" man="1"/>
    <brk id="74" min="2" max="37" man="1"/>
  </rowBreaks>
  <colBreaks count="1" manualBreakCount="1">
    <brk id="17" max="1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2012-11-07T11:58:02Z</cp:lastPrinted>
  <dcterms:created xsi:type="dcterms:W3CDTF">1996-10-08T23:32:33Z</dcterms:created>
  <dcterms:modified xsi:type="dcterms:W3CDTF">2012-12-17T15:21:56Z</dcterms:modified>
  <cp:category/>
  <cp:version/>
  <cp:contentType/>
  <cp:contentStatus/>
</cp:coreProperties>
</file>